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0" yWindow="65526" windowWidth="5200" windowHeight="4680" tabRatio="258" activeTab="0"/>
  </bookViews>
  <sheets>
    <sheet name="BUDGET SUMMARY" sheetId="1" r:id="rId1"/>
  </sheets>
  <definedNames>
    <definedName name="_Regression_Int" localSheetId="0" hidden="1">1</definedName>
    <definedName name="_xlnm.Print_Area" localSheetId="0">'BUDGET SUMMARY'!$A$1:$J$1136</definedName>
    <definedName name="Print_Area_MI">'BUDGET SUMMARY'!$A$3:$F$1012</definedName>
  </definedNames>
  <calcPr fullCalcOnLoad="1"/>
</workbook>
</file>

<file path=xl/sharedStrings.xml><?xml version="1.0" encoding="utf-8"?>
<sst xmlns="http://schemas.openxmlformats.org/spreadsheetml/2006/main" count="1129" uniqueCount="449">
  <si>
    <t>MADISON COUNTY, ILLINOIS</t>
  </si>
  <si>
    <t xml:space="preserve">     General Fund</t>
  </si>
  <si>
    <t xml:space="preserve">     Special Revenue Funds</t>
  </si>
  <si>
    <t xml:space="preserve">     Capital Project Fund</t>
  </si>
  <si>
    <t xml:space="preserve">     Enterprise Fund</t>
  </si>
  <si>
    <t xml:space="preserve">     Internal Service Fund</t>
  </si>
  <si>
    <t xml:space="preserve">          Total Budget</t>
  </si>
  <si>
    <t>Respectfully submitted,</t>
  </si>
  <si>
    <t xml:space="preserve">                                                            </t>
  </si>
  <si>
    <t>GENERAL FUND</t>
  </si>
  <si>
    <t>County Revenue</t>
  </si>
  <si>
    <t>Capital Outlay</t>
  </si>
  <si>
    <t xml:space="preserve">    Total General Fund</t>
  </si>
  <si>
    <t>SPECIAL REVENUE FUNDS</t>
  </si>
  <si>
    <t>SPECIAL REVENUE TAX LEVY FUNDS</t>
  </si>
  <si>
    <t>Detention Home</t>
  </si>
  <si>
    <t>Health Department</t>
  </si>
  <si>
    <t>IMRF</t>
  </si>
  <si>
    <t>Social Security</t>
  </si>
  <si>
    <t>Mental Health</t>
  </si>
  <si>
    <t>Museum</t>
  </si>
  <si>
    <t>Veteran's Assistance</t>
  </si>
  <si>
    <t>Highway</t>
  </si>
  <si>
    <t>Bridge</t>
  </si>
  <si>
    <t>Matching Tax</t>
  </si>
  <si>
    <t xml:space="preserve">    Total Special Revenue Tax Levy Funds</t>
  </si>
  <si>
    <t>Indemnity</t>
  </si>
  <si>
    <t>Law Library</t>
  </si>
  <si>
    <t>Motor Fuel Tax</t>
  </si>
  <si>
    <t>Township Motor Fuel Tax</t>
  </si>
  <si>
    <t>Tax Sale Automation</t>
  </si>
  <si>
    <t>Circuit Clerk Office Automation</t>
  </si>
  <si>
    <t>Recorder Office Automation</t>
  </si>
  <si>
    <t>Child Support Maint &amp; Admin Fee</t>
  </si>
  <si>
    <t>Probation Services Fund</t>
  </si>
  <si>
    <t>County Clerk Office Automation</t>
  </si>
  <si>
    <t>Solid Waste Management</t>
  </si>
  <si>
    <t>Tourism</t>
  </si>
  <si>
    <t>9-1-1 Emergency Telephone System</t>
  </si>
  <si>
    <t xml:space="preserve">    Total Other Special Revenue Funds</t>
  </si>
  <si>
    <t>Victim Assistance Center Grant</t>
  </si>
  <si>
    <t>Home Program</t>
  </si>
  <si>
    <t>Community Development Block Grant</t>
  </si>
  <si>
    <t xml:space="preserve">    Total Special Revenue Funds</t>
  </si>
  <si>
    <t>CAPITAL PROJECT FUND</t>
  </si>
  <si>
    <t xml:space="preserve">    Total Capital Project Fund</t>
  </si>
  <si>
    <t>ENTERPRISE FUND</t>
  </si>
  <si>
    <t xml:space="preserve">    Total Enterprise Fund</t>
  </si>
  <si>
    <t>*Affects residents of Special Service Area #1 only.</t>
  </si>
  <si>
    <t>INTERNAL SERVICE FUND</t>
  </si>
  <si>
    <t xml:space="preserve">    Total Internal Service Fund</t>
  </si>
  <si>
    <t>DETAIL BUDGET BY DEPARTMENT</t>
  </si>
  <si>
    <t>Projected</t>
  </si>
  <si>
    <t>Proposed</t>
  </si>
  <si>
    <t>COUNTY REVENUE DEPARTMENTS</t>
  </si>
  <si>
    <t>County Board</t>
  </si>
  <si>
    <t>Board of Review</t>
  </si>
  <si>
    <t>Circuit Court</t>
  </si>
  <si>
    <t>EMA - Admin</t>
  </si>
  <si>
    <t>Housing Authority</t>
  </si>
  <si>
    <t>Liquor Commission</t>
  </si>
  <si>
    <t>Personnel</t>
  </si>
  <si>
    <t>Personnel - Godfrey</t>
  </si>
  <si>
    <t>Police Merit Board</t>
  </si>
  <si>
    <t>Probation - Admin</t>
  </si>
  <si>
    <t>Probation-Public Act 83-982</t>
  </si>
  <si>
    <t>Probation - Pre-Trial Release</t>
  </si>
  <si>
    <t>Special Studies-Criminal Justice</t>
  </si>
  <si>
    <t>Circuit Clerk - Admin</t>
  </si>
  <si>
    <t>Circuit Clerk-IV-D Child Support</t>
  </si>
  <si>
    <t>Coroner - Admin</t>
  </si>
  <si>
    <t>County Clerk - Admin</t>
  </si>
  <si>
    <t>County Clerk - Elections</t>
  </si>
  <si>
    <t>Education</t>
  </si>
  <si>
    <t>Recorder</t>
  </si>
  <si>
    <t>Sheriff - Godfrey Patrol</t>
  </si>
  <si>
    <t xml:space="preserve">    Total County Revenue</t>
  </si>
  <si>
    <t>Indemnity Fund</t>
  </si>
  <si>
    <t>Solid Waste Management-Administration</t>
  </si>
  <si>
    <t>Tourism-Greater Alton</t>
  </si>
  <si>
    <t>Tourism-Southwestern</t>
  </si>
  <si>
    <t>Court Document Storage</t>
  </si>
  <si>
    <t xml:space="preserve">    Total Other Grant Departments</t>
  </si>
  <si>
    <t>COUNTY REVENUE FUND</t>
  </si>
  <si>
    <t>Taxes</t>
  </si>
  <si>
    <t>Fees</t>
  </si>
  <si>
    <t>Fines</t>
  </si>
  <si>
    <t>Licenses and Permits</t>
  </si>
  <si>
    <t>Interest</t>
  </si>
  <si>
    <t>Rents</t>
  </si>
  <si>
    <t>DETENTION HOME</t>
  </si>
  <si>
    <t xml:space="preserve">    Taxes</t>
  </si>
  <si>
    <t xml:space="preserve">      Total Revenues</t>
  </si>
  <si>
    <t>HEALTH DEPARTMENT</t>
  </si>
  <si>
    <t xml:space="preserve">    Operating Fees</t>
  </si>
  <si>
    <t>SOCIAL SECURITY</t>
  </si>
  <si>
    <t>MENTAL HEALTH BOARD</t>
  </si>
  <si>
    <t>MUSEUM</t>
  </si>
  <si>
    <t>VETERANS ASSISTANCE</t>
  </si>
  <si>
    <t>HIGHWAY</t>
  </si>
  <si>
    <t>BRIDGE</t>
  </si>
  <si>
    <t xml:space="preserve">MATCHING TAX                           </t>
  </si>
  <si>
    <t xml:space="preserve">    Fees</t>
  </si>
  <si>
    <t xml:space="preserve">    Intergovernmental</t>
  </si>
  <si>
    <t xml:space="preserve">    Miscellaneous</t>
  </si>
  <si>
    <t>INDEMNITY</t>
  </si>
  <si>
    <t>LAW LIBRARY</t>
  </si>
  <si>
    <t>MOTOR FUEL TAX</t>
  </si>
  <si>
    <t>TOWNSHIP MOTOR FUEL TAX</t>
  </si>
  <si>
    <t>CIRCUIT CLERK OFFICE AUTOMATION</t>
  </si>
  <si>
    <t>RECORDER OFFICE AUTOMATION</t>
  </si>
  <si>
    <t>CHILD SUPPORT MAINT &amp; ADMIN FEE</t>
  </si>
  <si>
    <t>PROBATION SERVICES FUND</t>
  </si>
  <si>
    <t xml:space="preserve">COUNTY CLERK OFFICE AUTOMATION         </t>
  </si>
  <si>
    <t>SOLID WASTE MANAGEMENT</t>
  </si>
  <si>
    <t xml:space="preserve">    Fees &amp; Fines</t>
  </si>
  <si>
    <t>TOURISM</t>
  </si>
  <si>
    <t>9-1-1 EMERGENCY TELEPHONE SYSTEM</t>
  </si>
  <si>
    <t>COURT DOCUMENT STORAGE</t>
  </si>
  <si>
    <t xml:space="preserve">    Forfeited Drug Funds</t>
  </si>
  <si>
    <t xml:space="preserve">    Federal Grant</t>
  </si>
  <si>
    <t>VICTIM ASSISTANCE CENTER GRANT</t>
  </si>
  <si>
    <t xml:space="preserve">    State Grant</t>
  </si>
  <si>
    <t xml:space="preserve">    Total Other Grants</t>
  </si>
  <si>
    <t xml:space="preserve">      Total Revenues &amp; Transfers</t>
  </si>
  <si>
    <t xml:space="preserve">    Total Capital Project Fund -</t>
  </si>
  <si>
    <t xml:space="preserve">      Revenues and Transfers</t>
  </si>
  <si>
    <t>*SPECIAL SRVC AREA #1</t>
  </si>
  <si>
    <t xml:space="preserve">    Service Charges</t>
  </si>
  <si>
    <t xml:space="preserve">    Late Payment Penalties</t>
  </si>
  <si>
    <t>TORT JUDGEMENT AND LIABILITY INSURANCE</t>
  </si>
  <si>
    <t>Jail Commissary</t>
  </si>
  <si>
    <t>Forfeited Drug Funds - State's Atty - State</t>
  </si>
  <si>
    <t>Forfeited Drug Funds - State's Atty - Federal</t>
  </si>
  <si>
    <t>Forfeited Drug Funds - Sheriff - State</t>
  </si>
  <si>
    <t>Forfeited Drug Funds - Sheriff - Federal</t>
  </si>
  <si>
    <t>by the Finance Committee:</t>
  </si>
  <si>
    <t>JAIL COMMISSARY</t>
  </si>
  <si>
    <t>FORFEITED DRUG FUNDS-SHERIFF - STATE</t>
  </si>
  <si>
    <t>FORFEITED DRUG FUNDS-SHERIFF - FEDERAL</t>
  </si>
  <si>
    <t>GIS Fund</t>
  </si>
  <si>
    <t>Treasurer - Postage/Printing/Publication</t>
  </si>
  <si>
    <t>Treasurer - Admin.</t>
  </si>
  <si>
    <t>Community Service Block Grant</t>
  </si>
  <si>
    <t>HUD Supportive Housing</t>
  </si>
  <si>
    <t>Chief County Assessment Official - Postage/Printing/Pub.</t>
  </si>
  <si>
    <t>Chief County Assessment Official - Administration</t>
  </si>
  <si>
    <t>Planning and Development - Admin</t>
  </si>
  <si>
    <t>Planning and Development - Legal Publications</t>
  </si>
  <si>
    <t>Planning and Development - Code Hearing Unit</t>
  </si>
  <si>
    <t>(CONTINUED)</t>
  </si>
  <si>
    <t xml:space="preserve">   Federal Grant</t>
  </si>
  <si>
    <t xml:space="preserve">   State Grant</t>
  </si>
  <si>
    <t xml:space="preserve">    Total Special Revenue Funds - Other Grants</t>
  </si>
  <si>
    <t>Metro East Park &amp; Rec. Dist. Grants Commission</t>
  </si>
  <si>
    <t>Metro East Park &amp; Rec. Dist. Grant Commission</t>
  </si>
  <si>
    <t>METRO EAST PARK  &amp; REC GRANTS COMM</t>
  </si>
  <si>
    <t>Public Defender - Admin.</t>
  </si>
  <si>
    <t>County Clerk - Election Day Expenses</t>
  </si>
  <si>
    <t>ETD Grant Contingency</t>
  </si>
  <si>
    <t>*Special Service Area #1 - O &amp; M</t>
  </si>
  <si>
    <t>CHILD ADVOCACY CENTER</t>
  </si>
  <si>
    <t>COMMUNITY SERVICE BLOCK GRANT</t>
  </si>
  <si>
    <t>WIA ADMINISTRATION</t>
  </si>
  <si>
    <t>WIA ADULT PROGRAM</t>
  </si>
  <si>
    <t>WIA DISLOCATED WORKER PROGRAM</t>
  </si>
  <si>
    <t>WIA YOUTH PROGRAM</t>
  </si>
  <si>
    <t>ETD GRANT CONTINGENCY</t>
  </si>
  <si>
    <t>HOME PROGRAM</t>
  </si>
  <si>
    <t>COMMUNITY DEVELOPMENT BLOCK GRANT</t>
  </si>
  <si>
    <t>SHERIFF DUI ENFORCEMENT</t>
  </si>
  <si>
    <t>Sheriff - Court Security</t>
  </si>
  <si>
    <t>Jail - Groceries</t>
  </si>
  <si>
    <t>Jail - Medical Expense</t>
  </si>
  <si>
    <t>Jail - Utilities</t>
  </si>
  <si>
    <t>State's Attorney - Admin</t>
  </si>
  <si>
    <t>State's Attorney - IV-D Child Support</t>
  </si>
  <si>
    <t>State's Attorney - Transit District Legal Services</t>
  </si>
  <si>
    <t>Mental Health - Administration</t>
  </si>
  <si>
    <t>Mental Health - Agencies</t>
  </si>
  <si>
    <t>Veteran's Assistance - Admin.</t>
  </si>
  <si>
    <t>Veteran's Assistance - Aid to Veterans</t>
  </si>
  <si>
    <t>Forfeited Drugs Fund - State's Attorney - State</t>
  </si>
  <si>
    <t>Forfeited Drugs Fund - State's Attorney - Federal</t>
  </si>
  <si>
    <t>Forfeited Drugs Fund - Sheriff - State</t>
  </si>
  <si>
    <t>Forfeited Drugs Fund - Sheriff - Federal</t>
  </si>
  <si>
    <t>NEUTRAL SITE CUSTODY EXCHANGE CTR</t>
  </si>
  <si>
    <t>CAPITAL PROJECT FUNDS</t>
  </si>
  <si>
    <t xml:space="preserve"> Capital Projects</t>
  </si>
  <si>
    <t>IHWAP State</t>
  </si>
  <si>
    <t>Sheriff - Vehicle Maintenance &amp; Repair</t>
  </si>
  <si>
    <t>Capital Project - Emergency Repairs to Buildings</t>
  </si>
  <si>
    <t>Child Advocacy Center - Admin.</t>
  </si>
  <si>
    <t>Child Advocacy Center</t>
  </si>
  <si>
    <t>IHWAP HHS Furnace Program</t>
  </si>
  <si>
    <t>Capital Project - Courthouse, Admin. Bldg. &amp; Annex Ren.</t>
  </si>
  <si>
    <t xml:space="preserve">    Total Special Revenue Tax Levy Departments</t>
  </si>
  <si>
    <t>Child Advocacy Center - Mental Health</t>
  </si>
  <si>
    <t>Rental Housing Support Program</t>
  </si>
  <si>
    <t>IHWAP HHS FURNACE PROGRAM</t>
  </si>
  <si>
    <t>IHWAP STATE</t>
  </si>
  <si>
    <t>RENTAL HOUSING SUPPORT PROGRAM</t>
  </si>
  <si>
    <t>Mental Health - Alternative Court</t>
  </si>
  <si>
    <t>Capital Project - W.R. Facility Building Renovations</t>
  </si>
  <si>
    <t>Actual</t>
  </si>
  <si>
    <t>Information Technology - Admin</t>
  </si>
  <si>
    <t>Information Technology - Real Estate Mgmt. System</t>
  </si>
  <si>
    <t>Facilities Management - Admin</t>
  </si>
  <si>
    <t>Facilities Management - Utilities</t>
  </si>
  <si>
    <t>Administrative Services</t>
  </si>
  <si>
    <t>Mental Health - System Development</t>
  </si>
  <si>
    <t>Health Benefits - Madco Group Med Plan</t>
  </si>
  <si>
    <t>Health Benefits - Other</t>
  </si>
  <si>
    <t>Health Benefits - AFSCME Family Health Ins. Pool</t>
  </si>
  <si>
    <t xml:space="preserve">    Transfers In  </t>
  </si>
  <si>
    <t xml:space="preserve">** The funds listed under Special Revenue Funds Other Grants operate on the State and Federal fiscal years, </t>
  </si>
  <si>
    <t xml:space="preserve">     beginning July 1, and October 1, respectively.</t>
  </si>
  <si>
    <t>Emergency Solutions Grant</t>
  </si>
  <si>
    <t>Health Benefits Fund - MADCO Group Plan</t>
  </si>
  <si>
    <t>Health Benefits Fund - Other</t>
  </si>
  <si>
    <t>Health Benefits Fund - AFSCME Family Health Ins.</t>
  </si>
  <si>
    <t xml:space="preserve">    Interest</t>
  </si>
  <si>
    <t xml:space="preserve">    Intergovernmental </t>
  </si>
  <si>
    <t xml:space="preserve">    Miscellaneous </t>
  </si>
  <si>
    <t>Intergovernmental</t>
  </si>
  <si>
    <t>Miscellaneous</t>
  </si>
  <si>
    <t xml:space="preserve">    Fines &amp; Forfeitures</t>
  </si>
  <si>
    <t>HEALTH BENEFITS FUND - MADISON COUNTY</t>
  </si>
  <si>
    <t>HEALTH BENEFITS FUND - AFSCME FAMILY</t>
  </si>
  <si>
    <t>EMERGENCY SOLUTIONS GRANT</t>
  </si>
  <si>
    <t>Animal Care and Control</t>
  </si>
  <si>
    <t>Animal Population Control</t>
  </si>
  <si>
    <t>Circuit Clerk Operation and Admin</t>
  </si>
  <si>
    <t>Alternative Court</t>
  </si>
  <si>
    <t>Coroner Fee</t>
  </si>
  <si>
    <t>Host Fee</t>
  </si>
  <si>
    <t>Circuit Clerk e-Citation</t>
  </si>
  <si>
    <t>Neutral Site Exchange</t>
  </si>
  <si>
    <t>Tax Liquidation</t>
  </si>
  <si>
    <t>Probation Services</t>
  </si>
  <si>
    <t>Parks &amp; Recreation Revolving Loan</t>
  </si>
  <si>
    <t>Sheriff DUI Enforcement</t>
  </si>
  <si>
    <t>GIS</t>
  </si>
  <si>
    <t>State's Attorney Automation</t>
  </si>
  <si>
    <t>Auditor - Admin</t>
  </si>
  <si>
    <t>Auditor - CAFR</t>
  </si>
  <si>
    <t>Circuit Clerk Operation and Admin.</t>
  </si>
  <si>
    <t>Host Fee - Admin.</t>
  </si>
  <si>
    <t>Host Fee - Local Emerg. Planning Comm.</t>
  </si>
  <si>
    <t xml:space="preserve">Host Fee - Grants </t>
  </si>
  <si>
    <t>Neutral Site Custody Exchange</t>
  </si>
  <si>
    <t>Circuit Clerk eCitation</t>
  </si>
  <si>
    <t>Parks &amp; Rec. Revolving Loan</t>
  </si>
  <si>
    <t>Capital Project - Repeater Tower Replacement</t>
  </si>
  <si>
    <t>CIRCUIT CLERK OPERATIONS &amp; ADMIN</t>
  </si>
  <si>
    <t>CIRCUIT CLERK e-CITATION</t>
  </si>
  <si>
    <t>ALTERNATIVE COURT</t>
  </si>
  <si>
    <t>CORONER FEE</t>
  </si>
  <si>
    <t>HOST FEE</t>
  </si>
  <si>
    <t>STATE'S ATTORNEY AUTOMATION</t>
  </si>
  <si>
    <t>TAX LIQUIDATION</t>
  </si>
  <si>
    <t>TAX SALE AUTOMATION</t>
  </si>
  <si>
    <t>PARKS &amp; REC REVOLVING LOAN</t>
  </si>
  <si>
    <t>ANIMAL CARE AND CONTROL</t>
  </si>
  <si>
    <t>ANIMAL POPULATION CONTROL</t>
  </si>
  <si>
    <t>Child Support Maintenance &amp; Administration Fee</t>
  </si>
  <si>
    <t>Tort Judgment and Liability Insurance</t>
  </si>
  <si>
    <t>SPECIAL ADVOCATES FEE</t>
  </si>
  <si>
    <t xml:space="preserve">    Property Sales</t>
  </si>
  <si>
    <t>Special Advocates Fee</t>
  </si>
  <si>
    <t>Sheriff - Security Services</t>
  </si>
  <si>
    <t>Sheriff - Triad Security Services</t>
  </si>
  <si>
    <t xml:space="preserve">    Total Other Special Revenue Departments</t>
  </si>
  <si>
    <t>Capital Project - Animal Control Facility - ADA Office</t>
  </si>
  <si>
    <t>Foreclosure Mediation</t>
  </si>
  <si>
    <t>HAVA Election Equipment Grant</t>
  </si>
  <si>
    <t>Continuum of Care Grant - Chestnut Madison Recovery</t>
  </si>
  <si>
    <t>DHS Emergency and Transitional Housing</t>
  </si>
  <si>
    <t>US EPA Brownfields</t>
  </si>
  <si>
    <t xml:space="preserve">Trade Adjustment Assistance Program </t>
  </si>
  <si>
    <t xml:space="preserve">*Special Service Area #1 </t>
  </si>
  <si>
    <t>Finance &amp; Government Op. Comm.</t>
  </si>
  <si>
    <t>Capital Project - Jail Deficiency Project</t>
  </si>
  <si>
    <t>Capital Project - Detention Home Chiller Rep/HVAC</t>
  </si>
  <si>
    <t xml:space="preserve">Foreclosure Mediation </t>
  </si>
  <si>
    <t>Solid Waste Management-Grants</t>
  </si>
  <si>
    <t xml:space="preserve">DHS Emergency &amp; Transitional Housing </t>
  </si>
  <si>
    <t>Sheriff - MEGSI</t>
  </si>
  <si>
    <t>Sheriff - Worker's Compensation</t>
  </si>
  <si>
    <t>Sheriff - COPS in School Program</t>
  </si>
  <si>
    <t>Sheriff - Admin</t>
  </si>
  <si>
    <t xml:space="preserve">  Special Service Area #1 Construction</t>
  </si>
  <si>
    <t>Child Advocacy Grants</t>
  </si>
  <si>
    <t>Family Violence Coordinating Council Grants</t>
  </si>
  <si>
    <t>Sheriff's Capital Grants</t>
  </si>
  <si>
    <t>Sheriff Byrne Justice Grant</t>
  </si>
  <si>
    <t>Health Department Grants</t>
  </si>
  <si>
    <t>Biopreparedness Grants</t>
  </si>
  <si>
    <t>Probation Redeploy Grants</t>
  </si>
  <si>
    <t>Emergency Management Grants</t>
  </si>
  <si>
    <t>Circuit Court Grants</t>
  </si>
  <si>
    <t>Enhanced Drug Treatment Grants</t>
  </si>
  <si>
    <t>Other CD Grants</t>
  </si>
  <si>
    <t>Industrial Dev. UDAG</t>
  </si>
  <si>
    <t>Capital Project - Sheriff Jail Security Upgrade</t>
  </si>
  <si>
    <t>Capital Project - New World System CAD Upgrade</t>
  </si>
  <si>
    <t>Capital Project - Health Dept. Phase II</t>
  </si>
  <si>
    <t>FORECLOSURE MEDIATION</t>
  </si>
  <si>
    <t>Capital Project - IT Server Room Upgrade</t>
  </si>
  <si>
    <t>Ending Fund Balance</t>
  </si>
  <si>
    <t>Unassigned (Unrestricted) Fund Balance</t>
  </si>
  <si>
    <t>Nonspendable, Restricted, Committed Fund Balance</t>
  </si>
  <si>
    <t xml:space="preserve">Health Benefits Fund </t>
  </si>
  <si>
    <t>FORFEITED DRUG FUNDS-ST ATTY - STATE</t>
  </si>
  <si>
    <t>FORFEITED DRUG FUNDS-ST ATTY - FEDERAL</t>
  </si>
  <si>
    <t xml:space="preserve">   Federal/State Grant</t>
  </si>
  <si>
    <t>HAVA ELECTION EQUIPMENT GRANT</t>
  </si>
  <si>
    <t>CHILD ADVOCACY CENTER GRANTS</t>
  </si>
  <si>
    <t>FAMILY VIOLENCE COORINATING COUNCIL GRTS</t>
  </si>
  <si>
    <t>SHERIFF CAPITAL GRANTS</t>
  </si>
  <si>
    <t>SHERIFF BYRNE JUSTICE GRANT</t>
  </si>
  <si>
    <t>HEALTH DEPT GRANTS</t>
  </si>
  <si>
    <t>BIOPREPAREDNESS GRANT</t>
  </si>
  <si>
    <t>PROBATION REDEPLOY GRANTS</t>
  </si>
  <si>
    <t>EMERGENCY MANAGEMENT GRANTS</t>
  </si>
  <si>
    <t>CIRCUIT COURT GRANTS</t>
  </si>
  <si>
    <t>ENHANCED DRUG COURT TREATMENT GRANTS</t>
  </si>
  <si>
    <t>DHS EMERGENCY &amp; TRANSITIONAL HOUSING</t>
  </si>
  <si>
    <t>US EPA BROWNSFIELDS</t>
  </si>
  <si>
    <t>INDUSTRIAL DEV UDAG</t>
  </si>
  <si>
    <t>OTHER CD GRANTS</t>
  </si>
  <si>
    <t>WOIA WORK PERFORMANCE GRANT</t>
  </si>
  <si>
    <t>transfers. Reappropriations and Immediate Emergency Appropriations are not included.</t>
  </si>
  <si>
    <t>Animal Care and Control - Capital Outlay</t>
  </si>
  <si>
    <t>Working Cash</t>
  </si>
  <si>
    <t>2008 Section 108 Loan Program</t>
  </si>
  <si>
    <t>Industrial Development Loan UDAG</t>
  </si>
  <si>
    <t>Industrial Development Loan CSBG</t>
  </si>
  <si>
    <t>ARRA EECBG</t>
  </si>
  <si>
    <t>Continuum of Care Grant - Planning Grant</t>
  </si>
  <si>
    <t>WIOA Trade Case Management</t>
  </si>
  <si>
    <t>WIOA Youth Program</t>
  </si>
  <si>
    <t>WIOA Dislocated Worker Program</t>
  </si>
  <si>
    <t>WIOA Adult Program</t>
  </si>
  <si>
    <t>WIOA Work Performance Grant</t>
  </si>
  <si>
    <t>WIOA Administration</t>
  </si>
  <si>
    <t xml:space="preserve">WIOA Dislocated Worker Program </t>
  </si>
  <si>
    <t>LIHEAP/State/PIPP</t>
  </si>
  <si>
    <t>Trade Adjustment Assistance Program</t>
  </si>
  <si>
    <t>INDUSTRIAL DEV CSBG</t>
  </si>
  <si>
    <t>Industrial Dev. CSBG</t>
  </si>
  <si>
    <t>AARA EECBG</t>
  </si>
  <si>
    <t>2008 SECTION 108 LOAN PROGRAM</t>
  </si>
  <si>
    <t>CONTINUUM OF CARE PLANNING GRANT</t>
  </si>
  <si>
    <t>TRADE ADJUSTMENT ASSISTANCE PROGRAM</t>
  </si>
  <si>
    <t>WIOA TRADE CASE MANAGEMENT</t>
  </si>
  <si>
    <t>Information Technology - HRIS</t>
  </si>
  <si>
    <t>Capital Project - Child Ad. Center Remodel</t>
  </si>
  <si>
    <t>Capital Project - CJC</t>
  </si>
  <si>
    <t>Capital Project - EMA Garage</t>
  </si>
  <si>
    <t>Jail - Admin.</t>
  </si>
  <si>
    <t>Facilities Management - Janitorial</t>
  </si>
  <si>
    <t>Facilities Management - Clay</t>
  </si>
  <si>
    <t>Facilities Management - Det. Home</t>
  </si>
  <si>
    <t>Facilities Management - Jail</t>
  </si>
  <si>
    <t>Facilities Management - Wood River</t>
  </si>
  <si>
    <t>Facilities Management - Crim. Courts</t>
  </si>
  <si>
    <t xml:space="preserve">Capital Project - Annex </t>
  </si>
  <si>
    <t>FY 2019</t>
  </si>
  <si>
    <t>State's Atty - Byrne Justice Grant</t>
  </si>
  <si>
    <t>ST. ATTORNEY BYRNE JUSTICE GRANT</t>
  </si>
  <si>
    <t>St. Attorney Byrne Justice Grant</t>
  </si>
  <si>
    <t>Capital Project - Sheriff Shooting Range</t>
  </si>
  <si>
    <t>Capital Project - Jail Renovation Prisoner</t>
  </si>
  <si>
    <t>Capital Project - Host Fee Project List</t>
  </si>
  <si>
    <t>St. Attorney VOCA Grant</t>
  </si>
  <si>
    <t>HUD Housing First (prev. Supportive Housing)</t>
  </si>
  <si>
    <t>HUD HOUSING FIRST (prev. SUPPORTIVE HOUSING)</t>
  </si>
  <si>
    <t>ST. ATTORNEY VOCA CRIME VICTIMS ASST</t>
  </si>
  <si>
    <t>Health Benefits AFSCME Family Pool</t>
  </si>
  <si>
    <t xml:space="preserve">  Total Internal Service Funds</t>
  </si>
  <si>
    <t>LIHEAP/STATE/PIPP</t>
  </si>
  <si>
    <t>FY 2020 BUDGET SUMMARY BY ALL FUND TYPES</t>
  </si>
  <si>
    <t>FY 2020</t>
  </si>
  <si>
    <t>Public Defender Automation</t>
  </si>
  <si>
    <t>Capital Project - ADA Standards Assessment</t>
  </si>
  <si>
    <t>Capital Project - Detention Home Reimbursement</t>
  </si>
  <si>
    <t>Capital Project - IT Camera Upgrade</t>
  </si>
  <si>
    <t>Capital Project - Sheriff ASTRO</t>
  </si>
  <si>
    <t>Capital Project - VAC</t>
  </si>
  <si>
    <t>State's Atty - VOCA Grant</t>
  </si>
  <si>
    <t>LIHEAP</t>
  </si>
  <si>
    <t>Workforce Investment</t>
  </si>
  <si>
    <t>Detention Home Grants</t>
  </si>
  <si>
    <t>PUBLIC DEFENDER AUTOMATION</t>
  </si>
  <si>
    <t>JAIL MEDICAL</t>
  </si>
  <si>
    <t>Jail Medical</t>
  </si>
  <si>
    <t>SPECIAL REV. TAX LEVY FUNDS (CONT'D)</t>
  </si>
  <si>
    <t>IHWAP  Dept. of Energy</t>
  </si>
  <si>
    <t>Coroner - Autopsy/Lab/Trans</t>
  </si>
  <si>
    <t>Health Dept. - Administration</t>
  </si>
  <si>
    <t>Madison County Historical Grant</t>
  </si>
  <si>
    <t>LIHEAP/HHS</t>
  </si>
  <si>
    <t>Continuum of Care Chestnut Madison Recovery</t>
  </si>
  <si>
    <t>Continuum of Care Planning Grant</t>
  </si>
  <si>
    <t>CONTINUUM OF CARE CHESTNUT</t>
  </si>
  <si>
    <t>IHWAP Dept. of Energy</t>
  </si>
  <si>
    <t xml:space="preserve">   Local Grant</t>
  </si>
  <si>
    <t>MADISON COUNTY HISTORICAL GRANT</t>
  </si>
  <si>
    <t>INTERNAL SERVICE FUNDS</t>
  </si>
  <si>
    <t>NOVEMBER 18, 2020</t>
  </si>
  <si>
    <t xml:space="preserve">     The following is the recommended FY 2021 Madison County Budget as prepared</t>
  </si>
  <si>
    <t>Attached is the detail line item budget for FY 2021.</t>
  </si>
  <si>
    <t>The FY 2020 Projected Expenditures detail line item budgets include the original budget appropriations plus approved budget</t>
  </si>
  <si>
    <t>FY 2021 BUDGET SUMMARY BY FUND</t>
  </si>
  <si>
    <t>Total Madison County Budget FY 2021</t>
  </si>
  <si>
    <t>ACTUAL FY 2019, PROJECTED FY 2020, ACTUAL AS OF 09/30/2020,  AND PROPOSED FY 2021 EXPENDITURES</t>
  </si>
  <si>
    <t>ACTUAL FY 2019, PROJECTED FY 2020, ACTUAL AS OF 09/30/2020,  AND PROPOSED FY 2021 REVENUES</t>
  </si>
  <si>
    <t>09/30/2020</t>
  </si>
  <si>
    <t>FY 2021</t>
  </si>
  <si>
    <t>ACTUAL FY 2019, PROJECTED FY 2020, ACTUAL AS OF 09/30/2020, AND PROPOSED FY 2021 REVENUES</t>
  </si>
  <si>
    <t>FY 2019 ACTUAL ENDING FUND BALANCES</t>
  </si>
  <si>
    <t>Community Service Block Grant - CARES</t>
  </si>
  <si>
    <t>Emergency Solutions Grant - CARES</t>
  </si>
  <si>
    <t>WIOA State Rapid Response Disaster</t>
  </si>
  <si>
    <t>WIOA State Workforce Initiatives Service</t>
  </si>
  <si>
    <t>WIOA State Rapid Response Layoffs</t>
  </si>
  <si>
    <t>WIOA National Dislocated Worker COVID</t>
  </si>
  <si>
    <t>LIHEAP/CARES</t>
  </si>
  <si>
    <t>DETAIL BUDGET BY FUND</t>
  </si>
  <si>
    <t>DETAIL BUDGET BY GENERAL FUND DEPARTMENT</t>
  </si>
  <si>
    <t>SPECIAL REVENUE OTHER FUNDS</t>
  </si>
  <si>
    <t>SPECIAL REVENUE OTHER FUNDS (CONT'D)</t>
  </si>
  <si>
    <t>SPECIAL REVENUE OTHER FUNDS - GRANTS **</t>
  </si>
  <si>
    <t>COUNTY REVENUE DEPTS. (CONT'D)</t>
  </si>
  <si>
    <t>SPECIAL REVENUE OTHER FUNDS - GRANTS ** (CONT'D)</t>
  </si>
  <si>
    <t>SPECIAL REVENUE OTHER FUNDS - GRANTS ** (CON'TD)</t>
  </si>
  <si>
    <t>SPECIAL REVENUE OTHER FUNDS (CON'TD)</t>
  </si>
  <si>
    <t>EMERGENCY SOLUTIONS GRANT CARES ACT</t>
  </si>
  <si>
    <t>LIHEAP CARES ACT</t>
  </si>
  <si>
    <t>WIOA STATE LEVEL RAPID RESP DISASTER</t>
  </si>
  <si>
    <t>WIOA STATE WORKFORCE INITIATIVES SERVICES</t>
  </si>
  <si>
    <t>WIOA NATL DISLOCATED WORKER COVID</t>
  </si>
  <si>
    <t>WOIA STATEWIDE RAPID RESPONE LAYOFFS</t>
  </si>
  <si>
    <t>Public Defender - Lab/Consulting</t>
  </si>
  <si>
    <t>Sheriff - MEATFF</t>
  </si>
  <si>
    <t>LIHEAP - CARES</t>
  </si>
  <si>
    <t>Special Studies-Madison County Extension</t>
  </si>
  <si>
    <t xml:space="preserve">CAPITAL PROJECT FUND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</si>
</sst>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_);\(&quot;$&quot;#,##0.0\)"/>
    <numFmt numFmtId="179" formatCode="#,##0.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&quot;$&quot;* #,##0.0000_);_(&quot;$&quot;* \(#,##0.0000\);_(&quot;$&quot;* &quot;-&quot;??_);_(@_)"/>
    <numFmt numFmtId="184" formatCode="_(* #,##0.00000_);_(* \(#,##0.00000\);_(* &quot;-&quot;??_);_(@_)"/>
    <numFmt numFmtId="185" formatCode="_(* #,##0.0_);_(* \(#,##0.0\);_(* &quot;-&quot;?_);_(@_)"/>
  </numFmts>
  <fonts count="45">
    <font>
      <sz val="12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Courier"/>
      <family val="3"/>
    </font>
    <font>
      <u val="single"/>
      <sz val="7.2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172" fontId="0" fillId="0" borderId="0" xfId="0" applyAlignment="1">
      <alignment/>
    </xf>
    <xf numFmtId="37" fontId="5" fillId="0" borderId="0" xfId="0" applyNumberFormat="1" applyFont="1" applyFill="1" applyAlignment="1" applyProtection="1">
      <alignment/>
      <protection/>
    </xf>
    <xf numFmtId="172" fontId="5" fillId="0" borderId="0" xfId="0" applyFont="1" applyFill="1" applyAlignment="1" applyProtection="1">
      <alignment horizontal="center"/>
      <protection/>
    </xf>
    <xf numFmtId="172" fontId="5" fillId="0" borderId="0" xfId="0" applyFont="1" applyFill="1" applyAlignment="1" applyProtection="1">
      <alignment horizontal="left"/>
      <protection/>
    </xf>
    <xf numFmtId="172" fontId="5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2" fontId="6" fillId="0" borderId="0" xfId="0" applyFont="1" applyFill="1" applyAlignment="1" applyProtection="1">
      <alignment horizontal="left"/>
      <protection/>
    </xf>
    <xf numFmtId="177" fontId="5" fillId="0" borderId="0" xfId="44" applyNumberFormat="1" applyFont="1" applyFill="1" applyBorder="1" applyAlignment="1" applyProtection="1">
      <alignment/>
      <protection/>
    </xf>
    <xf numFmtId="172" fontId="5" fillId="0" borderId="0" xfId="0" applyFont="1" applyFill="1" applyAlignment="1">
      <alignment horizontal="center"/>
    </xf>
    <xf numFmtId="172" fontId="5" fillId="0" borderId="10" xfId="0" applyFont="1" applyFill="1" applyBorder="1" applyAlignment="1">
      <alignment/>
    </xf>
    <xf numFmtId="172" fontId="5" fillId="0" borderId="0" xfId="0" applyFont="1" applyFill="1" applyBorder="1" applyAlignment="1">
      <alignment/>
    </xf>
    <xf numFmtId="177" fontId="5" fillId="33" borderId="0" xfId="44" applyNumberFormat="1" applyFont="1" applyFill="1" applyAlignment="1" applyProtection="1">
      <alignment/>
      <protection/>
    </xf>
    <xf numFmtId="174" fontId="5" fillId="33" borderId="11" xfId="42" applyNumberFormat="1" applyFont="1" applyFill="1" applyBorder="1" applyAlignment="1" applyProtection="1">
      <alignment/>
      <protection/>
    </xf>
    <xf numFmtId="172" fontId="5" fillId="0" borderId="10" xfId="0" applyFont="1" applyFill="1" applyBorder="1" applyAlignment="1" applyProtection="1">
      <alignment horizontal="center"/>
      <protection/>
    </xf>
    <xf numFmtId="177" fontId="5" fillId="0" borderId="0" xfId="44" applyNumberFormat="1" applyFont="1" applyFill="1" applyAlignment="1">
      <alignment/>
    </xf>
    <xf numFmtId="174" fontId="5" fillId="0" borderId="0" xfId="42" applyNumberFormat="1" applyFont="1" applyFill="1" applyAlignment="1">
      <alignment/>
    </xf>
    <xf numFmtId="172" fontId="5" fillId="0" borderId="0" xfId="0" applyFont="1" applyFill="1" applyBorder="1" applyAlignment="1" applyProtection="1">
      <alignment horizontal="center"/>
      <protection/>
    </xf>
    <xf numFmtId="172" fontId="5" fillId="0" borderId="10" xfId="0" applyFont="1" applyFill="1" applyBorder="1" applyAlignment="1" applyProtection="1" quotePrefix="1">
      <alignment horizontal="center"/>
      <protection/>
    </xf>
    <xf numFmtId="174" fontId="5" fillId="0" borderId="11" xfId="42" applyNumberFormat="1" applyFont="1" applyFill="1" applyBorder="1" applyAlignment="1">
      <alignment/>
    </xf>
    <xf numFmtId="177" fontId="5" fillId="0" borderId="10" xfId="44" applyNumberFormat="1" applyFont="1" applyFill="1" applyBorder="1" applyAlignment="1" applyProtection="1">
      <alignment/>
      <protection/>
    </xf>
    <xf numFmtId="177" fontId="5" fillId="0" borderId="12" xfId="44" applyNumberFormat="1" applyFont="1" applyFill="1" applyBorder="1" applyAlignment="1" applyProtection="1">
      <alignment/>
      <protection/>
    </xf>
    <xf numFmtId="177" fontId="5" fillId="0" borderId="0" xfId="44" applyNumberFormat="1" applyFont="1" applyFill="1" applyAlignment="1" applyProtection="1">
      <alignment/>
      <protection/>
    </xf>
    <xf numFmtId="37" fontId="5" fillId="0" borderId="11" xfId="0" applyNumberFormat="1" applyFont="1" applyFill="1" applyBorder="1" applyAlignment="1" applyProtection="1">
      <alignment/>
      <protection/>
    </xf>
    <xf numFmtId="174" fontId="5" fillId="0" borderId="0" xfId="42" applyNumberFormat="1" applyFont="1" applyFill="1" applyBorder="1" applyAlignment="1" applyProtection="1">
      <alignment/>
      <protection/>
    </xf>
    <xf numFmtId="174" fontId="5" fillId="0" borderId="0" xfId="42" applyNumberFormat="1" applyFont="1" applyFill="1" applyAlignment="1" applyProtection="1">
      <alignment/>
      <protection/>
    </xf>
    <xf numFmtId="43" fontId="5" fillId="0" borderId="0" xfId="42" applyFont="1" applyFill="1" applyAlignment="1" applyProtection="1">
      <alignment/>
      <protection/>
    </xf>
    <xf numFmtId="43" fontId="5" fillId="0" borderId="0" xfId="42" applyFont="1" applyFill="1" applyBorder="1" applyAlignment="1" applyProtection="1">
      <alignment/>
      <protection/>
    </xf>
    <xf numFmtId="174" fontId="5" fillId="0" borderId="11" xfId="42" applyNumberFormat="1" applyFont="1" applyFill="1" applyBorder="1" applyAlignment="1" applyProtection="1">
      <alignment/>
      <protection/>
    </xf>
    <xf numFmtId="174" fontId="5" fillId="0" borderId="10" xfId="42" applyNumberFormat="1" applyFont="1" applyFill="1" applyBorder="1" applyAlignment="1" applyProtection="1">
      <alignment/>
      <protection/>
    </xf>
    <xf numFmtId="37" fontId="5" fillId="0" borderId="10" xfId="0" applyNumberFormat="1" applyFont="1" applyFill="1" applyBorder="1" applyAlignment="1" applyProtection="1">
      <alignment/>
      <protection/>
    </xf>
    <xf numFmtId="182" fontId="5" fillId="0" borderId="0" xfId="42" applyNumberFormat="1" applyFont="1" applyFill="1" applyBorder="1" applyAlignment="1" applyProtection="1">
      <alignment/>
      <protection/>
    </xf>
    <xf numFmtId="177" fontId="5" fillId="0" borderId="13" xfId="44" applyNumberFormat="1" applyFont="1" applyFill="1" applyBorder="1" applyAlignment="1" applyProtection="1">
      <alignment/>
      <protection/>
    </xf>
    <xf numFmtId="43" fontId="5" fillId="0" borderId="10" xfId="42" applyFont="1" applyFill="1" applyBorder="1" applyAlignment="1" applyProtection="1">
      <alignment/>
      <protection/>
    </xf>
    <xf numFmtId="5" fontId="5" fillId="0" borderId="0" xfId="0" applyNumberFormat="1" applyFont="1" applyFill="1" applyAlignment="1" applyProtection="1">
      <alignment/>
      <protection/>
    </xf>
    <xf numFmtId="3" fontId="5" fillId="0" borderId="0" xfId="42" applyNumberFormat="1" applyFont="1" applyFill="1" applyAlignment="1" applyProtection="1">
      <alignment/>
      <protection/>
    </xf>
    <xf numFmtId="43" fontId="5" fillId="0" borderId="11" xfId="42" applyFont="1" applyFill="1" applyBorder="1" applyAlignment="1" applyProtection="1">
      <alignment/>
      <protection/>
    </xf>
    <xf numFmtId="44" fontId="5" fillId="0" borderId="0" xfId="44" applyFont="1" applyFill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4" fontId="5" fillId="0" borderId="0" xfId="42" applyNumberFormat="1" applyFont="1" applyFill="1" applyBorder="1" applyAlignment="1" applyProtection="1">
      <alignment horizontal="center"/>
      <protection/>
    </xf>
    <xf numFmtId="43" fontId="5" fillId="0" borderId="0" xfId="42" applyFont="1" applyFill="1" applyBorder="1" applyAlignment="1" applyProtection="1">
      <alignment horizontal="center"/>
      <protection/>
    </xf>
    <xf numFmtId="177" fontId="5" fillId="0" borderId="0" xfId="44" applyNumberFormat="1" applyFont="1" applyFill="1" applyBorder="1" applyAlignment="1" applyProtection="1">
      <alignment horizontal="center"/>
      <protection/>
    </xf>
    <xf numFmtId="174" fontId="5" fillId="0" borderId="11" xfId="42" applyNumberFormat="1" applyFont="1" applyFill="1" applyBorder="1" applyAlignment="1" applyProtection="1">
      <alignment horizontal="center"/>
      <protection/>
    </xf>
    <xf numFmtId="177" fontId="5" fillId="0" borderId="14" xfId="44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 horizontal="center"/>
      <protection/>
    </xf>
    <xf numFmtId="177" fontId="5" fillId="0" borderId="11" xfId="44" applyNumberFormat="1" applyFont="1" applyFill="1" applyBorder="1" applyAlignment="1" applyProtection="1">
      <alignment/>
      <protection/>
    </xf>
    <xf numFmtId="177" fontId="5" fillId="0" borderId="15" xfId="44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2" fontId="7" fillId="0" borderId="0" xfId="0" applyFont="1" applyFill="1" applyAlignment="1">
      <alignment/>
    </xf>
    <xf numFmtId="172" fontId="7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/>
    </xf>
    <xf numFmtId="177" fontId="5" fillId="0" borderId="0" xfId="44" applyNumberFormat="1" applyFont="1" applyFill="1" applyBorder="1" applyAlignment="1">
      <alignment/>
    </xf>
    <xf numFmtId="174" fontId="5" fillId="0" borderId="0" xfId="42" applyNumberFormat="1" applyFont="1" applyFill="1" applyBorder="1" applyAlignment="1">
      <alignment/>
    </xf>
    <xf numFmtId="5" fontId="5" fillId="0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2" fontId="5" fillId="0" borderId="0" xfId="0" applyFont="1" applyFill="1" applyBorder="1" applyAlignment="1" applyProtection="1" quotePrefix="1">
      <alignment horizontal="center"/>
      <protection/>
    </xf>
    <xf numFmtId="41" fontId="5" fillId="0" borderId="0" xfId="42" applyNumberFormat="1" applyFont="1" applyFill="1" applyAlignment="1" applyProtection="1">
      <alignment/>
      <protection/>
    </xf>
    <xf numFmtId="176" fontId="5" fillId="0" borderId="0" xfId="44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176" fontId="5" fillId="0" borderId="0" xfId="44" applyNumberFormat="1" applyFont="1" applyFill="1" applyBorder="1" applyAlignment="1" applyProtection="1">
      <alignment/>
      <protection/>
    </xf>
    <xf numFmtId="172" fontId="5" fillId="0" borderId="0" xfId="0" applyFont="1" applyFill="1" applyBorder="1" applyAlignment="1" applyProtection="1">
      <alignment horizontal="left"/>
      <protection/>
    </xf>
    <xf numFmtId="172" fontId="5" fillId="0" borderId="10" xfId="0" applyFont="1" applyFill="1" applyBorder="1" applyAlignment="1" applyProtection="1">
      <alignment horizontal="left"/>
      <protection/>
    </xf>
    <xf numFmtId="43" fontId="5" fillId="0" borderId="0" xfId="42" applyFont="1" applyFill="1" applyAlignment="1">
      <alignment/>
    </xf>
    <xf numFmtId="43" fontId="44" fillId="0" borderId="0" xfId="42" applyFont="1" applyFill="1" applyAlignment="1">
      <alignment/>
    </xf>
    <xf numFmtId="172" fontId="44" fillId="0" borderId="0" xfId="0" applyFont="1" applyFill="1" applyAlignment="1">
      <alignment/>
    </xf>
    <xf numFmtId="43" fontId="5" fillId="0" borderId="0" xfId="42" applyFont="1" applyFill="1" applyBorder="1" applyAlignment="1">
      <alignment/>
    </xf>
    <xf numFmtId="174" fontId="44" fillId="0" borderId="0" xfId="42" applyNumberFormat="1" applyFont="1" applyFill="1" applyAlignment="1" applyProtection="1">
      <alignment/>
      <protection/>
    </xf>
    <xf numFmtId="173" fontId="5" fillId="0" borderId="0" xfId="42" applyNumberFormat="1" applyFont="1" applyFill="1" applyAlignment="1" applyProtection="1">
      <alignment/>
      <protection/>
    </xf>
    <xf numFmtId="172" fontId="5" fillId="0" borderId="0" xfId="42" applyNumberFormat="1" applyFont="1" applyFill="1" applyAlignment="1">
      <alignment/>
    </xf>
    <xf numFmtId="3" fontId="5" fillId="0" borderId="0" xfId="42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74" fontId="5" fillId="0" borderId="11" xfId="42" applyNumberFormat="1" applyFont="1" applyFill="1" applyBorder="1" applyAlignment="1" applyProtection="1">
      <alignment horizontal="right"/>
      <protection/>
    </xf>
    <xf numFmtId="44" fontId="5" fillId="0" borderId="0" xfId="44" applyFont="1" applyFill="1" applyBorder="1" applyAlignment="1" applyProtection="1">
      <alignment/>
      <protection/>
    </xf>
    <xf numFmtId="177" fontId="44" fillId="0" borderId="0" xfId="44" applyNumberFormat="1" applyFont="1" applyFill="1" applyAlignment="1" applyProtection="1">
      <alignment/>
      <protection/>
    </xf>
    <xf numFmtId="174" fontId="44" fillId="0" borderId="0" xfId="42" applyNumberFormat="1" applyFont="1" applyFill="1" applyAlignment="1">
      <alignment/>
    </xf>
    <xf numFmtId="177" fontId="5" fillId="0" borderId="16" xfId="44" applyNumberFormat="1" applyFont="1" applyFill="1" applyBorder="1" applyAlignment="1" applyProtection="1">
      <alignment/>
      <protection/>
    </xf>
    <xf numFmtId="172" fontId="5" fillId="0" borderId="0" xfId="0" applyFont="1" applyFill="1" applyAlignment="1" quotePrefix="1">
      <alignment/>
    </xf>
    <xf numFmtId="172" fontId="5" fillId="0" borderId="0" xfId="0" applyFont="1" applyFill="1" applyAlignment="1" applyProtection="1">
      <alignment horizontal="center"/>
      <protection/>
    </xf>
    <xf numFmtId="172" fontId="5" fillId="0" borderId="0" xfId="0" applyFont="1" applyFill="1" applyAlignment="1">
      <alignment horizontal="center"/>
    </xf>
    <xf numFmtId="172" fontId="5" fillId="0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R1143"/>
  <sheetViews>
    <sheetView showGridLines="0" tabSelected="1" zoomScaleSheetLayoutView="75" workbookViewId="0" topLeftCell="A1">
      <selection activeCell="L706" sqref="L706"/>
    </sheetView>
  </sheetViews>
  <sheetFormatPr defaultColWidth="13.796875" defaultRowHeight="18" customHeight="1"/>
  <cols>
    <col min="1" max="1" width="26.796875" style="4" customWidth="1"/>
    <col min="2" max="2" width="6.69921875" style="4" customWidth="1"/>
    <col min="3" max="3" width="11.19921875" style="4" customWidth="1"/>
    <col min="4" max="4" width="12.09765625" style="4" customWidth="1"/>
    <col min="5" max="5" width="0.6953125" style="4" customWidth="1"/>
    <col min="6" max="6" width="14.796875" style="4" bestFit="1" customWidth="1"/>
    <col min="7" max="7" width="0.6953125" style="4" customWidth="1"/>
    <col min="8" max="8" width="13" style="4" bestFit="1" customWidth="1"/>
    <col min="9" max="9" width="0.6953125" style="11" customWidth="1"/>
    <col min="10" max="10" width="12.09765625" style="4" bestFit="1" customWidth="1"/>
    <col min="11" max="16384" width="13.69921875" style="4" customWidth="1"/>
  </cols>
  <sheetData>
    <row r="3" spans="1:10" ht="18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</row>
    <row r="4" ht="11.25" customHeight="1"/>
    <row r="5" spans="1:10" ht="18" customHeight="1">
      <c r="A5" s="80" t="s">
        <v>382</v>
      </c>
      <c r="B5" s="80"/>
      <c r="C5" s="80"/>
      <c r="D5" s="80"/>
      <c r="E5" s="80"/>
      <c r="F5" s="80"/>
      <c r="G5" s="80"/>
      <c r="H5" s="80"/>
      <c r="I5" s="80"/>
      <c r="J5" s="80"/>
    </row>
    <row r="6" ht="11.25" customHeight="1"/>
    <row r="7" spans="1:10" ht="15">
      <c r="A7" s="82" t="s">
        <v>410</v>
      </c>
      <c r="B7" s="82"/>
      <c r="C7" s="82"/>
      <c r="D7" s="82"/>
      <c r="E7" s="82"/>
      <c r="F7" s="82"/>
      <c r="G7" s="82"/>
      <c r="H7" s="82"/>
      <c r="I7" s="82"/>
      <c r="J7" s="82"/>
    </row>
    <row r="8" ht="5.25" customHeight="1"/>
    <row r="10" ht="18" customHeight="1">
      <c r="B10" s="3" t="s">
        <v>411</v>
      </c>
    </row>
    <row r="11" ht="18" customHeight="1">
      <c r="B11" s="3" t="s">
        <v>136</v>
      </c>
    </row>
    <row r="12" ht="11.25" customHeight="1"/>
    <row r="13" spans="2:9" ht="18" customHeight="1">
      <c r="B13" s="3" t="s">
        <v>1</v>
      </c>
      <c r="E13" s="49"/>
      <c r="F13" s="22">
        <f>D53</f>
        <v>48216767</v>
      </c>
      <c r="I13" s="50"/>
    </row>
    <row r="14" spans="2:6" ht="18" customHeight="1">
      <c r="B14" s="3" t="s">
        <v>2</v>
      </c>
      <c r="F14" s="1">
        <f>D149</f>
        <v>74641931</v>
      </c>
    </row>
    <row r="15" spans="2:6" ht="18" customHeight="1">
      <c r="B15" s="3" t="s">
        <v>3</v>
      </c>
      <c r="F15" s="1">
        <f>D153</f>
        <v>2330955</v>
      </c>
    </row>
    <row r="16" spans="2:6" ht="18" customHeight="1">
      <c r="B16" s="3" t="s">
        <v>4</v>
      </c>
      <c r="F16" s="1">
        <f>D157</f>
        <v>3851558</v>
      </c>
    </row>
    <row r="17" spans="2:6" ht="18" customHeight="1">
      <c r="B17" s="3" t="s">
        <v>5</v>
      </c>
      <c r="F17" s="30">
        <f>D166</f>
        <v>14761599</v>
      </c>
    </row>
    <row r="18" spans="2:6" ht="18" customHeight="1" thickBot="1">
      <c r="B18" s="3" t="s">
        <v>6</v>
      </c>
      <c r="F18" s="21">
        <f>SUM(F13:F17)</f>
        <v>143802810</v>
      </c>
    </row>
    <row r="19" spans="2:6" ht="18" customHeight="1" thickTop="1">
      <c r="B19" s="3"/>
      <c r="F19" s="8"/>
    </row>
    <row r="20" spans="2:6" ht="18" customHeight="1">
      <c r="B20" s="3"/>
      <c r="F20" s="8"/>
    </row>
    <row r="21" spans="2:6" ht="18" customHeight="1">
      <c r="B21" s="3"/>
      <c r="E21" s="3" t="s">
        <v>7</v>
      </c>
      <c r="F21" s="8"/>
    </row>
    <row r="22" ht="11.25" customHeight="1"/>
    <row r="23" spans="5:8" ht="18" customHeight="1">
      <c r="E23" s="10"/>
      <c r="F23" s="10"/>
      <c r="G23" s="10"/>
      <c r="H23" s="10"/>
    </row>
    <row r="24" ht="19.5" customHeight="1">
      <c r="J24" s="11"/>
    </row>
    <row r="25" spans="1:10" ht="19.5" customHeight="1">
      <c r="A25" s="3" t="s">
        <v>8</v>
      </c>
      <c r="E25" s="10"/>
      <c r="F25" s="10"/>
      <c r="G25" s="10"/>
      <c r="H25" s="10"/>
      <c r="J25" s="11"/>
    </row>
    <row r="26" ht="19.5" customHeight="1">
      <c r="J26" s="11"/>
    </row>
    <row r="27" spans="1:10" ht="19.5" customHeight="1">
      <c r="A27" s="3" t="s">
        <v>8</v>
      </c>
      <c r="E27" s="10"/>
      <c r="F27" s="10"/>
      <c r="G27" s="10"/>
      <c r="H27" s="10"/>
      <c r="J27" s="11"/>
    </row>
    <row r="28" ht="19.5" customHeight="1">
      <c r="J28" s="11"/>
    </row>
    <row r="29" spans="1:10" ht="19.5" customHeight="1">
      <c r="A29" s="3" t="s">
        <v>8</v>
      </c>
      <c r="E29" s="10"/>
      <c r="F29" s="10"/>
      <c r="G29" s="10"/>
      <c r="H29" s="10"/>
      <c r="J29" s="11"/>
    </row>
    <row r="30" ht="19.5" customHeight="1">
      <c r="J30" s="11"/>
    </row>
    <row r="31" spans="1:10" ht="19.5" customHeight="1">
      <c r="A31" s="3" t="s">
        <v>8</v>
      </c>
      <c r="E31" s="10"/>
      <c r="F31" s="10"/>
      <c r="G31" s="10"/>
      <c r="H31" s="10"/>
      <c r="J31" s="11"/>
    </row>
    <row r="32" ht="19.5" customHeight="1">
      <c r="J32" s="11"/>
    </row>
    <row r="33" spans="1:10" ht="19.5" customHeight="1">
      <c r="A33" s="3" t="s">
        <v>8</v>
      </c>
      <c r="E33" s="10"/>
      <c r="F33" s="10"/>
      <c r="G33" s="10"/>
      <c r="H33" s="10"/>
      <c r="J33" s="11"/>
    </row>
    <row r="34" ht="19.5" customHeight="1">
      <c r="J34" s="11"/>
    </row>
    <row r="35" spans="1:10" ht="19.5" customHeight="1">
      <c r="A35" s="3" t="s">
        <v>8</v>
      </c>
      <c r="E35" s="10"/>
      <c r="F35" s="10"/>
      <c r="G35" s="10"/>
      <c r="H35" s="10"/>
      <c r="J35" s="11"/>
    </row>
    <row r="36" ht="19.5" customHeight="1"/>
    <row r="37" spans="1:10" ht="19.5" customHeight="1">
      <c r="A37" s="3" t="s">
        <v>8</v>
      </c>
      <c r="E37" s="10"/>
      <c r="F37" s="10"/>
      <c r="G37" s="10"/>
      <c r="H37" s="10"/>
      <c r="J37" s="11"/>
    </row>
    <row r="38" spans="5:6" ht="18" customHeight="1">
      <c r="E38" s="3" t="s">
        <v>281</v>
      </c>
      <c r="F38" s="3"/>
    </row>
    <row r="40" ht="18" customHeight="1">
      <c r="A40" s="3" t="s">
        <v>412</v>
      </c>
    </row>
    <row r="41" ht="18" customHeight="1">
      <c r="A41" s="3"/>
    </row>
    <row r="42" ht="18" customHeight="1">
      <c r="A42" s="3" t="s">
        <v>413</v>
      </c>
    </row>
    <row r="43" ht="18" customHeight="1">
      <c r="A43" s="3" t="s">
        <v>332</v>
      </c>
    </row>
    <row r="44" ht="18" customHeight="1">
      <c r="A44" s="3"/>
    </row>
    <row r="45" ht="18" customHeight="1">
      <c r="A45" s="3" t="s">
        <v>215</v>
      </c>
    </row>
    <row r="46" ht="18" customHeight="1">
      <c r="A46" s="3" t="s">
        <v>216</v>
      </c>
    </row>
    <row r="47" spans="1:10" ht="18" customHeight="1">
      <c r="A47" s="81" t="s">
        <v>0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ht="18" customHeight="1">
      <c r="A48" s="80" t="s">
        <v>414</v>
      </c>
      <c r="B48" s="80"/>
      <c r="C48" s="80"/>
      <c r="D48" s="80"/>
      <c r="E48" s="80"/>
      <c r="F48" s="80"/>
      <c r="G48" s="80"/>
      <c r="H48" s="80"/>
      <c r="I48" s="80"/>
      <c r="J48" s="80"/>
    </row>
    <row r="49" ht="18" customHeight="1">
      <c r="C49" s="9"/>
    </row>
    <row r="50" ht="18" customHeight="1">
      <c r="A50" s="7" t="s">
        <v>9</v>
      </c>
    </row>
    <row r="51" spans="1:9" ht="18" customHeight="1">
      <c r="A51" s="3" t="s">
        <v>10</v>
      </c>
      <c r="D51" s="22">
        <f>J247-J245</f>
        <v>47684190</v>
      </c>
      <c r="E51" s="49"/>
      <c r="I51" s="50"/>
    </row>
    <row r="52" spans="1:4" ht="18" customHeight="1">
      <c r="A52" s="3" t="s">
        <v>11</v>
      </c>
      <c r="D52" s="30">
        <f>J245</f>
        <v>532577</v>
      </c>
    </row>
    <row r="53" spans="1:9" ht="18" customHeight="1" thickBot="1">
      <c r="A53" s="3" t="s">
        <v>12</v>
      </c>
      <c r="D53" s="21">
        <f>SUM(D51:D52)</f>
        <v>48216767</v>
      </c>
      <c r="E53" s="49"/>
      <c r="F53" s="77"/>
      <c r="I53" s="50"/>
    </row>
    <row r="54" spans="4:6" ht="18" customHeight="1" thickTop="1">
      <c r="D54" s="5"/>
      <c r="F54" s="16"/>
    </row>
    <row r="55" spans="1:4" ht="18" customHeight="1">
      <c r="A55" s="7" t="s">
        <v>13</v>
      </c>
      <c r="D55" s="5"/>
    </row>
    <row r="56" spans="1:4" ht="18" customHeight="1">
      <c r="A56" s="7" t="s">
        <v>14</v>
      </c>
      <c r="D56" s="5"/>
    </row>
    <row r="57" spans="1:4" ht="18" customHeight="1">
      <c r="A57" s="3" t="s">
        <v>15</v>
      </c>
      <c r="D57" s="22">
        <v>2582066</v>
      </c>
    </row>
    <row r="58" spans="1:4" ht="18" customHeight="1">
      <c r="A58" s="3" t="s">
        <v>16</v>
      </c>
      <c r="D58" s="1">
        <v>6300000</v>
      </c>
    </row>
    <row r="59" spans="1:4" ht="18" customHeight="1">
      <c r="A59" s="3" t="s">
        <v>17</v>
      </c>
      <c r="D59" s="1">
        <v>5187700</v>
      </c>
    </row>
    <row r="60" spans="1:4" ht="18" customHeight="1">
      <c r="A60" s="3" t="s">
        <v>18</v>
      </c>
      <c r="D60" s="1">
        <v>3230000</v>
      </c>
    </row>
    <row r="61" spans="1:4" ht="18" customHeight="1">
      <c r="A61" s="3" t="s">
        <v>19</v>
      </c>
      <c r="D61" s="1">
        <f>246607+2499598+352165+44811</f>
        <v>3143181</v>
      </c>
    </row>
    <row r="62" spans="1:4" ht="18" customHeight="1">
      <c r="A62" s="3" t="s">
        <v>20</v>
      </c>
      <c r="D62" s="1">
        <v>208891</v>
      </c>
    </row>
    <row r="63" spans="1:4" ht="18" customHeight="1">
      <c r="A63" s="3" t="s">
        <v>21</v>
      </c>
      <c r="D63" s="1">
        <f>604591+151328</f>
        <v>755919</v>
      </c>
    </row>
    <row r="64" spans="1:4" ht="18" customHeight="1">
      <c r="A64" s="3" t="s">
        <v>22</v>
      </c>
      <c r="D64" s="1">
        <v>4600287</v>
      </c>
    </row>
    <row r="65" spans="1:4" ht="18" customHeight="1">
      <c r="A65" s="3" t="s">
        <v>23</v>
      </c>
      <c r="D65" s="1">
        <v>1097808</v>
      </c>
    </row>
    <row r="66" spans="1:4" ht="18" customHeight="1">
      <c r="A66" s="3" t="s">
        <v>24</v>
      </c>
      <c r="D66" s="23">
        <v>1000000</v>
      </c>
    </row>
    <row r="67" spans="1:4" ht="18" customHeight="1">
      <c r="A67" s="3" t="s">
        <v>25</v>
      </c>
      <c r="D67" s="20">
        <f>SUM(D57:D66)</f>
        <v>28105852</v>
      </c>
    </row>
    <row r="68" ht="18" customHeight="1">
      <c r="D68" s="5"/>
    </row>
    <row r="69" spans="1:4" ht="18" customHeight="1">
      <c r="A69" s="7" t="s">
        <v>431</v>
      </c>
      <c r="D69" s="5"/>
    </row>
    <row r="70" spans="1:4" ht="18" customHeight="1">
      <c r="A70" s="3" t="s">
        <v>230</v>
      </c>
      <c r="D70" s="22">
        <v>773886</v>
      </c>
    </row>
    <row r="71" spans="1:4" ht="18" customHeight="1">
      <c r="A71" s="3" t="s">
        <v>231</v>
      </c>
      <c r="D71" s="25">
        <v>35000</v>
      </c>
    </row>
    <row r="72" spans="1:4" ht="18" customHeight="1">
      <c r="A72" s="3" t="s">
        <v>131</v>
      </c>
      <c r="D72" s="25">
        <v>148949</v>
      </c>
    </row>
    <row r="73" spans="1:4" ht="18" customHeight="1">
      <c r="A73" s="3" t="s">
        <v>26</v>
      </c>
      <c r="D73" s="1">
        <v>50000</v>
      </c>
    </row>
    <row r="74" spans="1:4" ht="18" customHeight="1">
      <c r="A74" s="3" t="s">
        <v>27</v>
      </c>
      <c r="D74" s="1">
        <v>515535</v>
      </c>
    </row>
    <row r="75" spans="1:4" ht="18" customHeight="1">
      <c r="A75" s="3" t="s">
        <v>269</v>
      </c>
      <c r="D75" s="1">
        <v>18000</v>
      </c>
    </row>
    <row r="76" spans="1:4" ht="18" customHeight="1">
      <c r="A76" s="3" t="s">
        <v>274</v>
      </c>
      <c r="D76" s="1">
        <v>84059</v>
      </c>
    </row>
    <row r="77" spans="1:4" ht="18" customHeight="1">
      <c r="A77" s="3" t="s">
        <v>193</v>
      </c>
      <c r="D77" s="1">
        <f>467500+35000</f>
        <v>502500</v>
      </c>
    </row>
    <row r="78" spans="1:4" ht="18" customHeight="1">
      <c r="A78" s="3" t="s">
        <v>28</v>
      </c>
      <c r="D78" s="1">
        <v>6917990</v>
      </c>
    </row>
    <row r="79" spans="1:4" ht="18" customHeight="1">
      <c r="A79" s="3" t="s">
        <v>29</v>
      </c>
      <c r="D79" s="1">
        <v>2000000</v>
      </c>
    </row>
    <row r="80" spans="1:4" ht="18" customHeight="1">
      <c r="A80" s="3" t="s">
        <v>232</v>
      </c>
      <c r="D80" s="1">
        <v>166598</v>
      </c>
    </row>
    <row r="81" spans="1:4" ht="18" customHeight="1">
      <c r="A81" s="3" t="s">
        <v>233</v>
      </c>
      <c r="D81" s="1">
        <v>300339</v>
      </c>
    </row>
    <row r="82" spans="1:4" ht="18" customHeight="1">
      <c r="A82" s="3" t="s">
        <v>234</v>
      </c>
      <c r="D82" s="1">
        <v>90170</v>
      </c>
    </row>
    <row r="83" spans="1:4" ht="18" customHeight="1">
      <c r="A83" s="3" t="s">
        <v>384</v>
      </c>
      <c r="D83" s="1">
        <v>2500</v>
      </c>
    </row>
    <row r="84" spans="1:4" ht="18" customHeight="1">
      <c r="A84" s="3" t="s">
        <v>235</v>
      </c>
      <c r="D84" s="1">
        <f>888564+924300+25000</f>
        <v>1837864</v>
      </c>
    </row>
    <row r="85" spans="1:4" ht="18" customHeight="1">
      <c r="A85" s="3" t="s">
        <v>243</v>
      </c>
      <c r="D85" s="1">
        <v>60000</v>
      </c>
    </row>
    <row r="86" spans="1:4" ht="18" customHeight="1">
      <c r="A86" s="3" t="s">
        <v>251</v>
      </c>
      <c r="D86" s="1">
        <v>236000</v>
      </c>
    </row>
    <row r="87" spans="1:4" ht="18" customHeight="1">
      <c r="A87" s="3" t="s">
        <v>237</v>
      </c>
      <c r="D87" s="25">
        <v>200000</v>
      </c>
    </row>
    <row r="88" spans="1:4" ht="18" customHeight="1">
      <c r="A88" s="3" t="s">
        <v>242</v>
      </c>
      <c r="D88" s="25">
        <v>603962</v>
      </c>
    </row>
    <row r="89" spans="1:4" ht="18" customHeight="1">
      <c r="A89" s="3" t="s">
        <v>238</v>
      </c>
      <c r="D89" s="1">
        <v>28000</v>
      </c>
    </row>
    <row r="90" spans="1:4" ht="18" customHeight="1">
      <c r="A90" s="3" t="s">
        <v>30</v>
      </c>
      <c r="D90" s="1">
        <v>114155</v>
      </c>
    </row>
    <row r="91" spans="1:4" ht="18" customHeight="1">
      <c r="A91" s="3" t="s">
        <v>31</v>
      </c>
      <c r="D91" s="1">
        <v>960370</v>
      </c>
    </row>
    <row r="92" spans="1:4" ht="18" customHeight="1">
      <c r="A92" s="3" t="s">
        <v>32</v>
      </c>
      <c r="D92" s="25">
        <v>699797</v>
      </c>
    </row>
    <row r="93" spans="1:10" ht="18" customHeight="1">
      <c r="A93" s="81" t="s">
        <v>0</v>
      </c>
      <c r="B93" s="81"/>
      <c r="C93" s="81"/>
      <c r="D93" s="81"/>
      <c r="E93" s="81"/>
      <c r="F93" s="81"/>
      <c r="G93" s="81"/>
      <c r="H93" s="81"/>
      <c r="I93" s="81"/>
      <c r="J93" s="81"/>
    </row>
    <row r="94" spans="1:10" ht="18" customHeight="1">
      <c r="A94" s="80" t="s">
        <v>414</v>
      </c>
      <c r="B94" s="80"/>
      <c r="C94" s="80"/>
      <c r="D94" s="80"/>
      <c r="E94" s="80"/>
      <c r="F94" s="80"/>
      <c r="G94" s="80"/>
      <c r="H94" s="80"/>
      <c r="I94" s="80"/>
      <c r="J94" s="80"/>
    </row>
    <row r="95" spans="1:10" ht="18" customHeight="1">
      <c r="A95" s="81" t="s">
        <v>150</v>
      </c>
      <c r="B95" s="81"/>
      <c r="C95" s="81"/>
      <c r="D95" s="81"/>
      <c r="E95" s="81"/>
      <c r="F95" s="81"/>
      <c r="G95" s="81"/>
      <c r="H95" s="81"/>
      <c r="I95" s="81"/>
      <c r="J95" s="81"/>
    </row>
    <row r="96" ht="18" customHeight="1">
      <c r="C96" s="9"/>
    </row>
    <row r="97" spans="1:4" ht="18" customHeight="1">
      <c r="A97" s="7" t="s">
        <v>432</v>
      </c>
      <c r="D97" s="5"/>
    </row>
    <row r="98" spans="1:4" ht="18" customHeight="1">
      <c r="A98" s="3" t="s">
        <v>265</v>
      </c>
      <c r="D98" s="22">
        <v>13000</v>
      </c>
    </row>
    <row r="99" spans="1:4" ht="18" customHeight="1">
      <c r="A99" s="3" t="s">
        <v>239</v>
      </c>
      <c r="D99" s="16">
        <v>329052</v>
      </c>
    </row>
    <row r="100" spans="1:4" ht="18" customHeight="1">
      <c r="A100" s="3" t="s">
        <v>35</v>
      </c>
      <c r="D100" s="25">
        <v>123840</v>
      </c>
    </row>
    <row r="101" spans="1:4" ht="18" customHeight="1">
      <c r="A101" s="3" t="s">
        <v>36</v>
      </c>
      <c r="D101" s="25">
        <v>835440</v>
      </c>
    </row>
    <row r="102" spans="1:4" ht="18" customHeight="1">
      <c r="A102" s="3" t="s">
        <v>37</v>
      </c>
      <c r="D102" s="1">
        <v>10000</v>
      </c>
    </row>
    <row r="103" spans="1:4" ht="18" customHeight="1">
      <c r="A103" s="3" t="s">
        <v>38</v>
      </c>
      <c r="D103" s="25">
        <v>6431144</v>
      </c>
    </row>
    <row r="104" spans="1:4" ht="18" customHeight="1">
      <c r="A104" s="3" t="s">
        <v>154</v>
      </c>
      <c r="D104" s="1">
        <v>2472048</v>
      </c>
    </row>
    <row r="105" spans="1:4" ht="18" customHeight="1">
      <c r="A105" s="3" t="s">
        <v>240</v>
      </c>
      <c r="D105" s="1">
        <v>450000</v>
      </c>
    </row>
    <row r="106" spans="1:9" s="15" customFormat="1" ht="18" customHeight="1">
      <c r="A106" s="3" t="s">
        <v>81</v>
      </c>
      <c r="D106" s="25">
        <v>1361666</v>
      </c>
      <c r="I106" s="52"/>
    </row>
    <row r="107" spans="1:4" ht="18" customHeight="1">
      <c r="A107" s="3" t="s">
        <v>132</v>
      </c>
      <c r="D107" s="1">
        <v>251927</v>
      </c>
    </row>
    <row r="108" spans="1:4" ht="18" customHeight="1">
      <c r="A108" s="3" t="s">
        <v>133</v>
      </c>
      <c r="D108" s="1">
        <v>15000</v>
      </c>
    </row>
    <row r="109" spans="1:4" ht="18" customHeight="1">
      <c r="A109" s="3" t="s">
        <v>134</v>
      </c>
      <c r="D109" s="1">
        <v>25000</v>
      </c>
    </row>
    <row r="110" spans="1:4" ht="18" customHeight="1">
      <c r="A110" s="3" t="s">
        <v>135</v>
      </c>
      <c r="D110" s="1">
        <v>35500</v>
      </c>
    </row>
    <row r="111" spans="1:4" ht="18" customHeight="1">
      <c r="A111" s="3" t="s">
        <v>241</v>
      </c>
      <c r="D111" s="23">
        <v>20000</v>
      </c>
    </row>
    <row r="112" spans="1:4" ht="18" customHeight="1">
      <c r="A112" s="3" t="s">
        <v>39</v>
      </c>
      <c r="D112" s="20">
        <f>SUM(D70:D111)</f>
        <v>28719291</v>
      </c>
    </row>
    <row r="113" spans="1:4" ht="18" customHeight="1">
      <c r="A113" s="3"/>
      <c r="D113" s="54"/>
    </row>
    <row r="114" ht="18" customHeight="1">
      <c r="A114" s="7" t="s">
        <v>433</v>
      </c>
    </row>
    <row r="115" spans="1:4" ht="18" customHeight="1">
      <c r="A115" s="3" t="s">
        <v>42</v>
      </c>
      <c r="D115" s="8">
        <f>2985068+1755949</f>
        <v>4741017</v>
      </c>
    </row>
    <row r="116" spans="1:4" ht="18" customHeight="1">
      <c r="A116" s="3" t="s">
        <v>143</v>
      </c>
      <c r="D116" s="6">
        <v>643368</v>
      </c>
    </row>
    <row r="117" spans="1:4" ht="18" customHeight="1">
      <c r="A117" s="3" t="s">
        <v>422</v>
      </c>
      <c r="D117" s="6">
        <v>903669</v>
      </c>
    </row>
    <row r="118" spans="1:9" ht="18" customHeight="1">
      <c r="A118" s="3" t="s">
        <v>276</v>
      </c>
      <c r="D118" s="6">
        <v>226116</v>
      </c>
      <c r="I118" s="4"/>
    </row>
    <row r="119" spans="1:9" ht="18" customHeight="1">
      <c r="A119" s="3" t="s">
        <v>339</v>
      </c>
      <c r="D119" s="6">
        <v>53610</v>
      </c>
      <c r="I119" s="4"/>
    </row>
    <row r="120" spans="1:9" ht="18" customHeight="1">
      <c r="A120" s="3" t="s">
        <v>277</v>
      </c>
      <c r="D120" s="6">
        <v>95000</v>
      </c>
      <c r="I120" s="4"/>
    </row>
    <row r="121" spans="1:4" ht="18" customHeight="1">
      <c r="A121" s="3" t="s">
        <v>217</v>
      </c>
      <c r="D121" s="6">
        <v>161010</v>
      </c>
    </row>
    <row r="122" spans="1:4" ht="18" customHeight="1">
      <c r="A122" s="3" t="s">
        <v>423</v>
      </c>
      <c r="D122" s="6">
        <v>584427</v>
      </c>
    </row>
    <row r="123" spans="1:9" ht="18" customHeight="1">
      <c r="A123" s="3" t="s">
        <v>41</v>
      </c>
      <c r="D123" s="6">
        <v>959874</v>
      </c>
      <c r="I123" s="4"/>
    </row>
    <row r="124" spans="1:9" ht="18" customHeight="1">
      <c r="A124" s="3" t="s">
        <v>144</v>
      </c>
      <c r="D124" s="6">
        <v>283943</v>
      </c>
      <c r="I124" s="4"/>
    </row>
    <row r="125" spans="1:9" ht="18" customHeight="1">
      <c r="A125" s="3" t="s">
        <v>398</v>
      </c>
      <c r="D125" s="24">
        <v>389722</v>
      </c>
      <c r="I125" s="4"/>
    </row>
    <row r="126" spans="1:9" ht="18" customHeight="1">
      <c r="A126" s="4" t="s">
        <v>194</v>
      </c>
      <c r="C126" s="9"/>
      <c r="D126" s="24">
        <v>464908</v>
      </c>
      <c r="I126" s="4"/>
    </row>
    <row r="127" spans="1:9" ht="18" customHeight="1">
      <c r="A127" s="4" t="s">
        <v>189</v>
      </c>
      <c r="C127" s="9"/>
      <c r="D127" s="24">
        <v>200456</v>
      </c>
      <c r="I127" s="4"/>
    </row>
    <row r="128" spans="1:9" ht="18" customHeight="1">
      <c r="A128" s="3" t="s">
        <v>402</v>
      </c>
      <c r="D128" s="24">
        <v>1011919</v>
      </c>
      <c r="I128" s="4"/>
    </row>
    <row r="129" spans="1:9" ht="18" customHeight="1">
      <c r="A129" s="3" t="s">
        <v>347</v>
      </c>
      <c r="D129" s="6">
        <v>1654271</v>
      </c>
      <c r="I129" s="4"/>
    </row>
    <row r="130" spans="1:9" ht="18" customHeight="1">
      <c r="A130" s="3" t="s">
        <v>446</v>
      </c>
      <c r="D130" s="6">
        <v>812929</v>
      </c>
      <c r="I130" s="4"/>
    </row>
    <row r="131" spans="1:9" ht="18" customHeight="1">
      <c r="A131" s="3" t="s">
        <v>159</v>
      </c>
      <c r="D131" s="6">
        <v>61163</v>
      </c>
      <c r="I131" s="4"/>
    </row>
    <row r="132" spans="1:9" ht="18" customHeight="1">
      <c r="A132" s="3" t="s">
        <v>279</v>
      </c>
      <c r="D132" s="6">
        <v>6548</v>
      </c>
      <c r="I132" s="4"/>
    </row>
    <row r="133" spans="1:9" ht="18" customHeight="1">
      <c r="A133" s="3" t="s">
        <v>424</v>
      </c>
      <c r="D133" s="6">
        <v>231976</v>
      </c>
      <c r="I133" s="4"/>
    </row>
    <row r="134" spans="1:9" ht="18" customHeight="1">
      <c r="A134" s="3" t="s">
        <v>425</v>
      </c>
      <c r="D134" s="6">
        <v>62186</v>
      </c>
      <c r="I134" s="4"/>
    </row>
    <row r="135" spans="1:9" ht="18" customHeight="1">
      <c r="A135" s="3" t="s">
        <v>344</v>
      </c>
      <c r="D135" s="24">
        <v>0</v>
      </c>
      <c r="I135" s="4"/>
    </row>
    <row r="136" spans="1:9" ht="18" customHeight="1">
      <c r="A136" s="3" t="s">
        <v>345</v>
      </c>
      <c r="D136" s="24">
        <f>149378+276837</f>
        <v>426215</v>
      </c>
      <c r="I136" s="4"/>
    </row>
    <row r="137" spans="1:9" ht="18" customHeight="1">
      <c r="A137" s="3" t="s">
        <v>343</v>
      </c>
      <c r="D137" s="24">
        <f>322827+1222599</f>
        <v>1545426</v>
      </c>
      <c r="I137" s="4"/>
    </row>
    <row r="138" spans="1:9" ht="18" customHeight="1">
      <c r="A138" s="3" t="s">
        <v>342</v>
      </c>
      <c r="C138" s="9"/>
      <c r="D138" s="24">
        <f>12439+463907</f>
        <v>476346</v>
      </c>
      <c r="I138" s="4"/>
    </row>
    <row r="139" spans="1:10" ht="18" customHeight="1">
      <c r="A139" s="81" t="s">
        <v>0</v>
      </c>
      <c r="B139" s="81"/>
      <c r="C139" s="81"/>
      <c r="D139" s="81"/>
      <c r="E139" s="81"/>
      <c r="F139" s="81"/>
      <c r="G139" s="81"/>
      <c r="H139" s="81"/>
      <c r="I139" s="81"/>
      <c r="J139" s="81"/>
    </row>
    <row r="140" spans="1:10" ht="18" customHeight="1">
      <c r="A140" s="80" t="s">
        <v>414</v>
      </c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1:10" ht="18" customHeight="1">
      <c r="A141" s="81" t="s">
        <v>150</v>
      </c>
      <c r="B141" s="81"/>
      <c r="C141" s="81"/>
      <c r="D141" s="81"/>
      <c r="E141" s="81"/>
      <c r="F141" s="81"/>
      <c r="G141" s="81"/>
      <c r="H141" s="81"/>
      <c r="I141" s="81"/>
      <c r="J141" s="81"/>
    </row>
    <row r="142" spans="1:9" ht="18" customHeight="1">
      <c r="A142" s="3"/>
      <c r="C142" s="9"/>
      <c r="D142" s="24"/>
      <c r="I142" s="4"/>
    </row>
    <row r="143" spans="1:9" ht="18" customHeight="1">
      <c r="A143" s="7" t="s">
        <v>435</v>
      </c>
      <c r="C143" s="9"/>
      <c r="D143" s="24"/>
      <c r="I143" s="4"/>
    </row>
    <row r="144" spans="1:9" ht="18" customHeight="1">
      <c r="A144" s="3" t="s">
        <v>427</v>
      </c>
      <c r="C144" s="9"/>
      <c r="D144" s="8">
        <v>733792</v>
      </c>
      <c r="I144" s="4"/>
    </row>
    <row r="145" spans="1:9" ht="18" customHeight="1">
      <c r="A145" s="3" t="s">
        <v>426</v>
      </c>
      <c r="C145" s="9"/>
      <c r="D145" s="24">
        <v>181717</v>
      </c>
      <c r="I145" s="4"/>
    </row>
    <row r="146" spans="1:9" ht="18" customHeight="1">
      <c r="A146" s="3" t="s">
        <v>340</v>
      </c>
      <c r="C146" s="9"/>
      <c r="D146" s="24">
        <v>0</v>
      </c>
      <c r="I146" s="4"/>
    </row>
    <row r="147" spans="1:9" ht="18" customHeight="1">
      <c r="A147" s="3" t="s">
        <v>341</v>
      </c>
      <c r="C147" s="9"/>
      <c r="D147" s="24">
        <f>100133+805047</f>
        <v>905180</v>
      </c>
      <c r="I147" s="4"/>
    </row>
    <row r="148" spans="1:9" ht="18" customHeight="1">
      <c r="A148" s="3" t="s">
        <v>153</v>
      </c>
      <c r="D148" s="20">
        <f>SUM(D115:D147)</f>
        <v>17816788</v>
      </c>
      <c r="I148" s="4"/>
    </row>
    <row r="149" spans="1:9" ht="18" customHeight="1" thickBot="1">
      <c r="A149" s="3" t="s">
        <v>43</v>
      </c>
      <c r="D149" s="21">
        <f>D148+D112+D67</f>
        <v>74641931</v>
      </c>
      <c r="I149" s="4"/>
    </row>
    <row r="150" spans="1:9" ht="18" customHeight="1" thickTop="1">
      <c r="A150" s="3"/>
      <c r="D150" s="8"/>
      <c r="I150" s="4"/>
    </row>
    <row r="151" spans="1:9" ht="18" customHeight="1">
      <c r="A151" s="7" t="s">
        <v>44</v>
      </c>
      <c r="I151" s="4"/>
    </row>
    <row r="152" spans="1:9" ht="18" customHeight="1">
      <c r="A152" s="3" t="s">
        <v>188</v>
      </c>
      <c r="D152" s="46">
        <v>2330955</v>
      </c>
      <c r="I152" s="4"/>
    </row>
    <row r="153" spans="1:9" ht="18" customHeight="1" thickBot="1">
      <c r="A153" s="3" t="s">
        <v>45</v>
      </c>
      <c r="D153" s="48">
        <f>SUM(D152:D152)</f>
        <v>2330955</v>
      </c>
      <c r="I153" s="4"/>
    </row>
    <row r="154" ht="18" customHeight="1" thickTop="1"/>
    <row r="155" spans="1:9" ht="18" customHeight="1">
      <c r="A155" s="7" t="s">
        <v>46</v>
      </c>
      <c r="I155" s="4"/>
    </row>
    <row r="156" spans="1:9" ht="18" customHeight="1">
      <c r="A156" s="3" t="s">
        <v>280</v>
      </c>
      <c r="D156" s="46">
        <v>3851558</v>
      </c>
      <c r="I156" s="4"/>
    </row>
    <row r="157" spans="1:9" ht="18" customHeight="1" thickBot="1">
      <c r="A157" s="3" t="s">
        <v>47</v>
      </c>
      <c r="D157" s="21">
        <f>SUM(D156:D156)</f>
        <v>3851558</v>
      </c>
      <c r="I157" s="4"/>
    </row>
    <row r="158" spans="1:9" ht="18" customHeight="1" thickTop="1">
      <c r="A158" s="3"/>
      <c r="D158" s="8"/>
      <c r="I158" s="4"/>
    </row>
    <row r="159" spans="1:9" ht="18" customHeight="1">
      <c r="A159" s="3" t="s">
        <v>48</v>
      </c>
      <c r="D159" s="8"/>
      <c r="I159" s="4"/>
    </row>
    <row r="160" spans="1:9" ht="18" customHeight="1">
      <c r="A160" s="3"/>
      <c r="C160" s="9"/>
      <c r="I160" s="4"/>
    </row>
    <row r="161" spans="1:9" ht="18" customHeight="1">
      <c r="A161" s="7" t="s">
        <v>49</v>
      </c>
      <c r="I161" s="4"/>
    </row>
    <row r="162" spans="1:4" ht="18" customHeight="1">
      <c r="A162" s="3" t="s">
        <v>266</v>
      </c>
      <c r="D162" s="22">
        <v>3093243</v>
      </c>
    </row>
    <row r="163" spans="1:4" ht="18" customHeight="1">
      <c r="A163" s="3" t="s">
        <v>218</v>
      </c>
      <c r="D163" s="25">
        <v>10458842</v>
      </c>
    </row>
    <row r="164" spans="1:4" ht="18" customHeight="1">
      <c r="A164" s="3" t="s">
        <v>219</v>
      </c>
      <c r="D164" s="25">
        <v>579514</v>
      </c>
    </row>
    <row r="165" spans="1:4" ht="18" customHeight="1">
      <c r="A165" s="3" t="s">
        <v>220</v>
      </c>
      <c r="D165" s="28">
        <v>630000</v>
      </c>
    </row>
    <row r="166" spans="1:4" ht="18" customHeight="1" thickBot="1">
      <c r="A166" s="3" t="s">
        <v>50</v>
      </c>
      <c r="D166" s="21">
        <f>SUM(D162:D165)</f>
        <v>14761599</v>
      </c>
    </row>
    <row r="167" spans="1:4" ht="18" customHeight="1" thickTop="1">
      <c r="A167" s="3"/>
      <c r="D167" s="8"/>
    </row>
    <row r="168" spans="1:4" ht="18" customHeight="1" thickBot="1">
      <c r="A168" s="3" t="s">
        <v>415</v>
      </c>
      <c r="D168" s="78">
        <f>D166+D157+D153+D149+D53</f>
        <v>143802810</v>
      </c>
    </row>
    <row r="169" spans="1:4" ht="18" customHeight="1" thickTop="1">
      <c r="A169" s="3"/>
      <c r="D169" s="8"/>
    </row>
    <row r="170" spans="1:10" ht="18" customHeight="1">
      <c r="A170" s="81" t="s">
        <v>0</v>
      </c>
      <c r="B170" s="81"/>
      <c r="C170" s="81"/>
      <c r="D170" s="81"/>
      <c r="E170" s="81"/>
      <c r="F170" s="81"/>
      <c r="G170" s="81"/>
      <c r="H170" s="81"/>
      <c r="I170" s="81"/>
      <c r="J170" s="81"/>
    </row>
    <row r="171" spans="1:10" ht="18" customHeight="1">
      <c r="A171" s="80" t="s">
        <v>430</v>
      </c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1:10" ht="18" customHeight="1">
      <c r="A172" s="80" t="s">
        <v>416</v>
      </c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1:3" ht="18" customHeight="1">
      <c r="A173" s="3"/>
      <c r="C173" s="2"/>
    </row>
    <row r="174" spans="1:10" ht="18" customHeight="1">
      <c r="A174" s="7" t="s">
        <v>9</v>
      </c>
      <c r="D174" s="2" t="s">
        <v>204</v>
      </c>
      <c r="F174" s="2" t="s">
        <v>52</v>
      </c>
      <c r="G174" s="2"/>
      <c r="H174" s="2" t="s">
        <v>204</v>
      </c>
      <c r="I174" s="4"/>
      <c r="J174" s="2" t="s">
        <v>53</v>
      </c>
    </row>
    <row r="175" spans="1:10" ht="18" customHeight="1">
      <c r="A175" s="7" t="s">
        <v>54</v>
      </c>
      <c r="D175" s="14" t="s">
        <v>368</v>
      </c>
      <c r="F175" s="14" t="s">
        <v>383</v>
      </c>
      <c r="G175" s="17"/>
      <c r="H175" s="18" t="s">
        <v>418</v>
      </c>
      <c r="I175" s="4"/>
      <c r="J175" s="14" t="s">
        <v>419</v>
      </c>
    </row>
    <row r="176" spans="1:10" ht="18" customHeight="1">
      <c r="A176" s="3" t="s">
        <v>55</v>
      </c>
      <c r="D176" s="15">
        <v>732041</v>
      </c>
      <c r="E176" s="25"/>
      <c r="F176" s="15">
        <v>805334</v>
      </c>
      <c r="G176" s="15"/>
      <c r="H176" s="15">
        <v>547387</v>
      </c>
      <c r="I176" s="25"/>
      <c r="J176" s="15">
        <v>803359</v>
      </c>
    </row>
    <row r="177" spans="1:10" ht="18" customHeight="1">
      <c r="A177" s="3" t="s">
        <v>56</v>
      </c>
      <c r="D177" s="16">
        <v>292478</v>
      </c>
      <c r="E177" s="1"/>
      <c r="F177" s="16">
        <v>299751</v>
      </c>
      <c r="G177" s="16"/>
      <c r="H177" s="16">
        <v>241383</v>
      </c>
      <c r="I177" s="1"/>
      <c r="J177" s="16">
        <v>312654</v>
      </c>
    </row>
    <row r="178" spans="1:18" ht="18" customHeight="1">
      <c r="A178" s="3" t="s">
        <v>207</v>
      </c>
      <c r="D178" s="16">
        <v>1387812</v>
      </c>
      <c r="E178" s="1"/>
      <c r="F178" s="16">
        <v>1470019</v>
      </c>
      <c r="G178" s="16"/>
      <c r="H178" s="16">
        <v>1134589</v>
      </c>
      <c r="I178" s="1"/>
      <c r="J178" s="16">
        <v>1476342</v>
      </c>
      <c r="L178" s="16"/>
      <c r="M178" s="16"/>
      <c r="N178" s="16"/>
      <c r="O178" s="16"/>
      <c r="P178" s="16"/>
      <c r="Q178" s="1"/>
      <c r="R178" s="16"/>
    </row>
    <row r="179" spans="1:18" ht="18" customHeight="1">
      <c r="A179" s="3" t="s">
        <v>361</v>
      </c>
      <c r="D179" s="16">
        <v>194080</v>
      </c>
      <c r="E179" s="1"/>
      <c r="F179" s="16">
        <v>199875</v>
      </c>
      <c r="G179" s="16"/>
      <c r="H179" s="16">
        <v>166527</v>
      </c>
      <c r="I179" s="1"/>
      <c r="J179" s="16">
        <v>205000</v>
      </c>
      <c r="L179" s="16"/>
      <c r="M179" s="1"/>
      <c r="N179" s="16"/>
      <c r="O179" s="16"/>
      <c r="P179" s="16"/>
      <c r="Q179" s="1"/>
      <c r="R179" s="16"/>
    </row>
    <row r="180" spans="1:18" ht="18" customHeight="1">
      <c r="A180" s="3" t="s">
        <v>362</v>
      </c>
      <c r="D180" s="16">
        <v>1077</v>
      </c>
      <c r="E180" s="1"/>
      <c r="F180" s="16">
        <v>3000</v>
      </c>
      <c r="G180" s="16"/>
      <c r="H180" s="16">
        <v>1364</v>
      </c>
      <c r="I180" s="1"/>
      <c r="J180" s="16">
        <v>3000</v>
      </c>
      <c r="L180" s="16"/>
      <c r="M180" s="1"/>
      <c r="N180" s="16"/>
      <c r="O180" s="16"/>
      <c r="P180" s="16"/>
      <c r="Q180" s="1"/>
      <c r="R180" s="16"/>
    </row>
    <row r="181" spans="1:18" ht="18" customHeight="1">
      <c r="A181" s="3" t="s">
        <v>363</v>
      </c>
      <c r="D181" s="16">
        <v>15052</v>
      </c>
      <c r="E181" s="1"/>
      <c r="F181" s="16">
        <v>22100</v>
      </c>
      <c r="G181" s="16"/>
      <c r="H181" s="16">
        <v>9312</v>
      </c>
      <c r="I181" s="1"/>
      <c r="J181" s="16">
        <v>22100</v>
      </c>
      <c r="L181" s="16"/>
      <c r="M181" s="1"/>
      <c r="N181" s="16"/>
      <c r="O181" s="16"/>
      <c r="P181" s="16"/>
      <c r="Q181" s="1"/>
      <c r="R181" s="16"/>
    </row>
    <row r="182" spans="1:18" ht="18" customHeight="1">
      <c r="A182" s="3" t="s">
        <v>364</v>
      </c>
      <c r="D182" s="16">
        <v>44140</v>
      </c>
      <c r="E182" s="1"/>
      <c r="F182" s="16">
        <v>52750</v>
      </c>
      <c r="G182" s="16"/>
      <c r="H182" s="16">
        <v>30538</v>
      </c>
      <c r="I182" s="1"/>
      <c r="J182" s="16">
        <v>52750</v>
      </c>
      <c r="L182" s="16"/>
      <c r="M182" s="1"/>
      <c r="N182" s="16"/>
      <c r="O182" s="16"/>
      <c r="P182" s="16"/>
      <c r="Q182" s="1"/>
      <c r="R182" s="16"/>
    </row>
    <row r="183" spans="1:18" ht="18" customHeight="1">
      <c r="A183" s="3" t="s">
        <v>365</v>
      </c>
      <c r="D183" s="16">
        <v>60142</v>
      </c>
      <c r="E183" s="1"/>
      <c r="F183" s="16">
        <v>68500</v>
      </c>
      <c r="G183" s="16"/>
      <c r="H183" s="16">
        <v>38840</v>
      </c>
      <c r="I183" s="1"/>
      <c r="J183" s="16">
        <v>68500</v>
      </c>
      <c r="L183" s="16"/>
      <c r="M183" s="1"/>
      <c r="N183" s="16"/>
      <c r="O183" s="16"/>
      <c r="P183" s="16"/>
      <c r="Q183" s="1"/>
      <c r="R183" s="16"/>
    </row>
    <row r="184" spans="1:18" ht="18" customHeight="1">
      <c r="A184" s="3" t="s">
        <v>366</v>
      </c>
      <c r="D184" s="16">
        <v>20219</v>
      </c>
      <c r="E184" s="1"/>
      <c r="F184" s="16">
        <v>21200</v>
      </c>
      <c r="G184" s="16"/>
      <c r="H184" s="16">
        <v>10564</v>
      </c>
      <c r="I184" s="1"/>
      <c r="J184" s="16">
        <v>21200</v>
      </c>
      <c r="L184" s="16"/>
      <c r="M184" s="1"/>
      <c r="N184" s="16"/>
      <c r="O184" s="16"/>
      <c r="P184" s="16"/>
      <c r="Q184" s="1"/>
      <c r="R184" s="16"/>
    </row>
    <row r="185" spans="1:10" ht="18" customHeight="1">
      <c r="A185" s="3" t="s">
        <v>208</v>
      </c>
      <c r="D185" s="16">
        <v>615898</v>
      </c>
      <c r="E185" s="1"/>
      <c r="F185" s="16">
        <v>558965</v>
      </c>
      <c r="G185" s="16"/>
      <c r="H185" s="16">
        <v>435978</v>
      </c>
      <c r="I185" s="1"/>
      <c r="J185" s="16">
        <v>558965</v>
      </c>
    </row>
    <row r="186" spans="1:10" ht="18" customHeight="1">
      <c r="A186" s="3" t="s">
        <v>209</v>
      </c>
      <c r="D186" s="16">
        <v>322624</v>
      </c>
      <c r="E186" s="1"/>
      <c r="F186" s="16">
        <v>320802</v>
      </c>
      <c r="G186" s="16"/>
      <c r="H186" s="16">
        <v>268350</v>
      </c>
      <c r="I186" s="1"/>
      <c r="J186" s="16">
        <v>320789</v>
      </c>
    </row>
    <row r="187" spans="1:10" ht="18" customHeight="1">
      <c r="A187" s="3" t="s">
        <v>57</v>
      </c>
      <c r="D187" s="16">
        <v>1139362</v>
      </c>
      <c r="E187" s="1"/>
      <c r="F187" s="16">
        <v>1197793</v>
      </c>
      <c r="G187" s="16"/>
      <c r="H187" s="16">
        <v>834415</v>
      </c>
      <c r="I187" s="1"/>
      <c r="J187" s="16">
        <v>1162740</v>
      </c>
    </row>
    <row r="188" spans="1:10" ht="18" customHeight="1">
      <c r="A188" s="3" t="s">
        <v>205</v>
      </c>
      <c r="D188" s="16">
        <v>1536862</v>
      </c>
      <c r="E188" s="1"/>
      <c r="F188" s="16">
        <v>1629025</v>
      </c>
      <c r="G188" s="16"/>
      <c r="H188" s="16">
        <v>1041452</v>
      </c>
      <c r="I188" s="1"/>
      <c r="J188" s="16">
        <v>1546557</v>
      </c>
    </row>
    <row r="189" spans="1:10" ht="18" customHeight="1">
      <c r="A189" s="3" t="s">
        <v>206</v>
      </c>
      <c r="D189" s="6">
        <v>185353</v>
      </c>
      <c r="E189" s="1"/>
      <c r="F189" s="16">
        <v>188000</v>
      </c>
      <c r="G189" s="16"/>
      <c r="H189" s="16">
        <v>143972</v>
      </c>
      <c r="I189" s="1"/>
      <c r="J189" s="16">
        <v>193000</v>
      </c>
    </row>
    <row r="190" spans="1:10" ht="18" customHeight="1">
      <c r="A190" s="3" t="s">
        <v>356</v>
      </c>
      <c r="D190" s="16">
        <v>298953</v>
      </c>
      <c r="E190" s="1"/>
      <c r="F190" s="16">
        <v>306898</v>
      </c>
      <c r="G190" s="16"/>
      <c r="H190" s="16">
        <v>241399</v>
      </c>
      <c r="I190" s="1"/>
      <c r="J190" s="16">
        <v>309067</v>
      </c>
    </row>
    <row r="191" spans="1:10" ht="18" customHeight="1">
      <c r="A191" s="3" t="s">
        <v>58</v>
      </c>
      <c r="D191" s="16">
        <v>338464</v>
      </c>
      <c r="E191" s="1"/>
      <c r="F191" s="16">
        <v>338372</v>
      </c>
      <c r="G191" s="16"/>
      <c r="H191" s="16">
        <v>257970</v>
      </c>
      <c r="I191" s="1"/>
      <c r="J191" s="16">
        <v>330237</v>
      </c>
    </row>
    <row r="192" spans="1:10" ht="18" customHeight="1">
      <c r="A192" s="3" t="s">
        <v>59</v>
      </c>
      <c r="D192" s="16">
        <v>5000</v>
      </c>
      <c r="E192" s="1"/>
      <c r="F192" s="16">
        <v>7800</v>
      </c>
      <c r="G192" s="16"/>
      <c r="H192" s="16">
        <v>4900</v>
      </c>
      <c r="I192" s="1"/>
      <c r="J192" s="16">
        <v>7800</v>
      </c>
    </row>
    <row r="193" spans="1:10" ht="18" customHeight="1">
      <c r="A193" s="3" t="s">
        <v>60</v>
      </c>
      <c r="D193" s="16">
        <v>4236</v>
      </c>
      <c r="E193" s="1"/>
      <c r="F193" s="16">
        <v>6185</v>
      </c>
      <c r="G193" s="16"/>
      <c r="H193" s="16">
        <v>3095</v>
      </c>
      <c r="I193" s="1"/>
      <c r="J193" s="16">
        <v>6115</v>
      </c>
    </row>
    <row r="194" spans="1:12" ht="18" customHeight="1">
      <c r="A194" s="3" t="s">
        <v>61</v>
      </c>
      <c r="D194" s="16">
        <v>5115634</v>
      </c>
      <c r="E194" s="57"/>
      <c r="F194" s="16">
        <v>5481291</v>
      </c>
      <c r="G194" s="16"/>
      <c r="H194" s="16">
        <v>4335180</v>
      </c>
      <c r="I194" s="57"/>
      <c r="J194" s="16">
        <v>5282891</v>
      </c>
      <c r="L194" s="16"/>
    </row>
    <row r="195" spans="1:12" ht="18" customHeight="1">
      <c r="A195" s="3" t="s">
        <v>62</v>
      </c>
      <c r="D195" s="16">
        <v>208667</v>
      </c>
      <c r="E195" s="1"/>
      <c r="F195" s="16">
        <v>228000</v>
      </c>
      <c r="G195" s="16"/>
      <c r="H195" s="16">
        <v>174273</v>
      </c>
      <c r="I195" s="1"/>
      <c r="J195" s="16">
        <v>228000</v>
      </c>
      <c r="L195" s="16"/>
    </row>
    <row r="196" spans="1:12" ht="18" customHeight="1">
      <c r="A196" s="3" t="s">
        <v>63</v>
      </c>
      <c r="D196" s="16">
        <v>23217</v>
      </c>
      <c r="E196" s="1"/>
      <c r="F196" s="16">
        <v>31323</v>
      </c>
      <c r="G196" s="16"/>
      <c r="H196" s="16">
        <v>22896</v>
      </c>
      <c r="I196" s="1"/>
      <c r="J196" s="16">
        <v>31323</v>
      </c>
      <c r="L196" s="16"/>
    </row>
    <row r="197" spans="1:12" ht="18" customHeight="1">
      <c r="A197" s="3" t="s">
        <v>64</v>
      </c>
      <c r="D197" s="16">
        <v>1263370</v>
      </c>
      <c r="E197" s="1"/>
      <c r="F197" s="16">
        <v>1382281</v>
      </c>
      <c r="G197" s="16"/>
      <c r="H197" s="16">
        <v>969516</v>
      </c>
      <c r="I197" s="1"/>
      <c r="J197" s="16">
        <v>1336154</v>
      </c>
      <c r="L197" s="16"/>
    </row>
    <row r="198" spans="1:12" ht="18" customHeight="1">
      <c r="A198" s="3" t="s">
        <v>65</v>
      </c>
      <c r="D198" s="16">
        <v>1649058</v>
      </c>
      <c r="E198" s="1"/>
      <c r="F198" s="16">
        <v>1756000</v>
      </c>
      <c r="G198" s="16"/>
      <c r="H198" s="16">
        <v>1360269</v>
      </c>
      <c r="I198" s="1"/>
      <c r="J198" s="16">
        <v>1723207</v>
      </c>
      <c r="L198" s="16"/>
    </row>
    <row r="199" spans="1:12" ht="18" customHeight="1">
      <c r="A199" s="3" t="s">
        <v>66</v>
      </c>
      <c r="D199" s="16">
        <v>383456</v>
      </c>
      <c r="E199" s="1"/>
      <c r="F199" s="16">
        <v>497086</v>
      </c>
      <c r="G199" s="16"/>
      <c r="H199" s="16">
        <v>407252</v>
      </c>
      <c r="I199" s="1"/>
      <c r="J199" s="16">
        <v>477837</v>
      </c>
      <c r="L199" s="16"/>
    </row>
    <row r="200" spans="1:10" ht="18" customHeight="1">
      <c r="A200" s="3" t="s">
        <v>157</v>
      </c>
      <c r="D200" s="16">
        <v>1287500</v>
      </c>
      <c r="E200" s="1"/>
      <c r="F200" s="16">
        <v>1388856</v>
      </c>
      <c r="G200" s="16"/>
      <c r="H200" s="16">
        <v>1082956</v>
      </c>
      <c r="I200" s="1"/>
      <c r="J200" s="16">
        <v>1399856</v>
      </c>
    </row>
    <row r="201" spans="1:10" ht="18" customHeight="1">
      <c r="A201" s="3" t="s">
        <v>444</v>
      </c>
      <c r="D201" s="16">
        <v>0</v>
      </c>
      <c r="E201" s="1"/>
      <c r="F201" s="16">
        <v>0</v>
      </c>
      <c r="G201" s="16"/>
      <c r="H201" s="16">
        <v>0</v>
      </c>
      <c r="I201" s="1"/>
      <c r="J201" s="16">
        <v>15000</v>
      </c>
    </row>
    <row r="202" spans="1:10" ht="18" customHeight="1">
      <c r="A202" s="3" t="s">
        <v>67</v>
      </c>
      <c r="D202" s="16">
        <v>24075</v>
      </c>
      <c r="E202" s="1"/>
      <c r="F202" s="16">
        <v>25000</v>
      </c>
      <c r="G202" s="16"/>
      <c r="H202" s="16">
        <v>24075</v>
      </c>
      <c r="I202" s="1"/>
      <c r="J202" s="16">
        <v>25000</v>
      </c>
    </row>
    <row r="203" spans="1:10" ht="18" customHeight="1">
      <c r="A203" s="3" t="s">
        <v>447</v>
      </c>
      <c r="D203" s="16">
        <v>50000</v>
      </c>
      <c r="E203" s="1"/>
      <c r="F203" s="16">
        <v>50000</v>
      </c>
      <c r="G203" s="16"/>
      <c r="H203" s="16">
        <v>50000</v>
      </c>
      <c r="I203" s="1"/>
      <c r="J203" s="16">
        <v>50000</v>
      </c>
    </row>
    <row r="204" spans="1:10" ht="18" customHeight="1">
      <c r="A204" s="3" t="s">
        <v>146</v>
      </c>
      <c r="D204" s="16">
        <v>1410208</v>
      </c>
      <c r="E204" s="1"/>
      <c r="F204" s="16">
        <v>1414545</v>
      </c>
      <c r="G204" s="16"/>
      <c r="H204" s="16">
        <v>1053909</v>
      </c>
      <c r="I204" s="1"/>
      <c r="J204" s="16">
        <v>1372204</v>
      </c>
    </row>
    <row r="205" spans="1:10" ht="18" customHeight="1">
      <c r="A205" s="3" t="s">
        <v>145</v>
      </c>
      <c r="D205" s="16">
        <v>49868</v>
      </c>
      <c r="E205" s="1"/>
      <c r="F205" s="16">
        <v>63450</v>
      </c>
      <c r="G205" s="16"/>
      <c r="H205" s="16">
        <v>45610</v>
      </c>
      <c r="I205" s="1"/>
      <c r="J205" s="16">
        <v>94550</v>
      </c>
    </row>
    <row r="206" spans="1:10" ht="18" customHeight="1">
      <c r="A206" s="3" t="s">
        <v>147</v>
      </c>
      <c r="D206" s="16">
        <v>501860</v>
      </c>
      <c r="E206" s="1"/>
      <c r="F206" s="16">
        <v>476533</v>
      </c>
      <c r="G206" s="16"/>
      <c r="H206" s="16">
        <v>312200</v>
      </c>
      <c r="I206" s="1"/>
      <c r="J206" s="16">
        <v>35771</v>
      </c>
    </row>
    <row r="207" spans="1:10" ht="18" customHeight="1">
      <c r="A207" s="3" t="s">
        <v>148</v>
      </c>
      <c r="D207" s="16">
        <v>6189</v>
      </c>
      <c r="E207" s="1"/>
      <c r="F207" s="16">
        <v>15000</v>
      </c>
      <c r="G207" s="16"/>
      <c r="H207" s="16">
        <v>5875</v>
      </c>
      <c r="I207" s="1"/>
      <c r="J207" s="16">
        <v>15000</v>
      </c>
    </row>
    <row r="208" spans="1:10" ht="18" customHeight="1">
      <c r="A208" s="3" t="s">
        <v>149</v>
      </c>
      <c r="D208" s="16">
        <v>10688</v>
      </c>
      <c r="E208" s="1"/>
      <c r="F208" s="16">
        <v>10500</v>
      </c>
      <c r="G208" s="16"/>
      <c r="H208" s="16">
        <v>5313</v>
      </c>
      <c r="I208" s="1"/>
      <c r="J208" s="16">
        <v>14400</v>
      </c>
    </row>
    <row r="209" spans="1:10" ht="18" customHeight="1">
      <c r="A209" s="3" t="s">
        <v>244</v>
      </c>
      <c r="D209" s="16">
        <v>688228</v>
      </c>
      <c r="E209" s="1"/>
      <c r="F209" s="16">
        <v>720428</v>
      </c>
      <c r="G209" s="16"/>
      <c r="H209" s="16">
        <v>583591</v>
      </c>
      <c r="I209" s="1"/>
      <c r="J209" s="16">
        <v>722257</v>
      </c>
    </row>
    <row r="210" spans="1:10" ht="18" customHeight="1">
      <c r="A210" s="3" t="s">
        <v>245</v>
      </c>
      <c r="D210" s="16">
        <v>99800</v>
      </c>
      <c r="E210" s="1"/>
      <c r="F210" s="16">
        <v>102400</v>
      </c>
      <c r="G210" s="16"/>
      <c r="H210" s="16">
        <v>2461</v>
      </c>
      <c r="I210" s="1"/>
      <c r="J210" s="16">
        <v>102400</v>
      </c>
    </row>
    <row r="211" spans="1:10" ht="18" customHeight="1">
      <c r="A211" s="3" t="s">
        <v>68</v>
      </c>
      <c r="D211" s="16">
        <v>3038326</v>
      </c>
      <c r="E211" s="1"/>
      <c r="F211" s="16">
        <v>3115961</v>
      </c>
      <c r="G211" s="16"/>
      <c r="H211" s="16">
        <v>2383544</v>
      </c>
      <c r="I211" s="1"/>
      <c r="J211" s="16">
        <v>3045866</v>
      </c>
    </row>
    <row r="212" spans="1:10" ht="18" customHeight="1">
      <c r="A212" s="3" t="s">
        <v>69</v>
      </c>
      <c r="D212" s="16">
        <v>41092</v>
      </c>
      <c r="E212" s="1"/>
      <c r="F212" s="16">
        <v>70569</v>
      </c>
      <c r="G212" s="16"/>
      <c r="H212" s="16">
        <v>47563</v>
      </c>
      <c r="I212" s="1"/>
      <c r="J212" s="16">
        <v>71237</v>
      </c>
    </row>
    <row r="213" spans="1:10" ht="18" customHeight="1">
      <c r="A213" s="3" t="s">
        <v>70</v>
      </c>
      <c r="D213" s="16">
        <v>871218</v>
      </c>
      <c r="E213" s="1"/>
      <c r="F213" s="16">
        <v>910534</v>
      </c>
      <c r="G213" s="16"/>
      <c r="H213" s="16">
        <v>687195</v>
      </c>
      <c r="I213" s="1"/>
      <c r="J213" s="16">
        <v>910534</v>
      </c>
    </row>
    <row r="214" spans="1:10" ht="18" customHeight="1">
      <c r="A214" s="3" t="s">
        <v>399</v>
      </c>
      <c r="D214" s="16">
        <v>332024</v>
      </c>
      <c r="E214" s="1"/>
      <c r="F214" s="16">
        <v>395346</v>
      </c>
      <c r="G214" s="16"/>
      <c r="H214" s="16">
        <v>278888</v>
      </c>
      <c r="I214" s="1"/>
      <c r="J214" s="16">
        <v>399178</v>
      </c>
    </row>
    <row r="215" spans="1:10" ht="18" customHeight="1">
      <c r="A215" s="3" t="s">
        <v>71</v>
      </c>
      <c r="D215" s="16">
        <v>614993</v>
      </c>
      <c r="E215" s="25"/>
      <c r="F215" s="16">
        <v>657186</v>
      </c>
      <c r="G215" s="16"/>
      <c r="H215" s="16">
        <v>532159</v>
      </c>
      <c r="I215" s="25"/>
      <c r="J215" s="16">
        <v>639733</v>
      </c>
    </row>
    <row r="216" spans="1:10" ht="18" customHeight="1">
      <c r="A216" s="81" t="s">
        <v>0</v>
      </c>
      <c r="B216" s="81"/>
      <c r="C216" s="81"/>
      <c r="D216" s="81"/>
      <c r="E216" s="81"/>
      <c r="F216" s="81"/>
      <c r="G216" s="81"/>
      <c r="H216" s="81"/>
      <c r="I216" s="81"/>
      <c r="J216" s="81"/>
    </row>
    <row r="217" spans="1:10" ht="18" customHeight="1">
      <c r="A217" s="80" t="s">
        <v>430</v>
      </c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ht="18" customHeight="1">
      <c r="A218" s="80" t="s">
        <v>416</v>
      </c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ht="18" customHeight="1">
      <c r="A219" s="80" t="s">
        <v>150</v>
      </c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4:10" ht="18" customHeight="1">
      <c r="D220" s="2" t="s">
        <v>204</v>
      </c>
      <c r="F220" s="2" t="s">
        <v>52</v>
      </c>
      <c r="G220" s="2"/>
      <c r="H220" s="2" t="s">
        <v>204</v>
      </c>
      <c r="I220" s="4"/>
      <c r="J220" s="2" t="s">
        <v>53</v>
      </c>
    </row>
    <row r="221" spans="1:10" ht="18" customHeight="1">
      <c r="A221" s="7" t="s">
        <v>434</v>
      </c>
      <c r="D221" s="14" t="s">
        <v>368</v>
      </c>
      <c r="F221" s="14" t="s">
        <v>383</v>
      </c>
      <c r="G221" s="17"/>
      <c r="H221" s="18" t="s">
        <v>418</v>
      </c>
      <c r="I221" s="4"/>
      <c r="J221" s="14" t="s">
        <v>419</v>
      </c>
    </row>
    <row r="222" spans="1:10" ht="18" customHeight="1">
      <c r="A222" s="3" t="s">
        <v>72</v>
      </c>
      <c r="D222" s="15">
        <v>920142</v>
      </c>
      <c r="E222" s="22"/>
      <c r="F222" s="15">
        <v>1035362</v>
      </c>
      <c r="G222" s="15"/>
      <c r="H222" s="15">
        <v>827107</v>
      </c>
      <c r="I222" s="22"/>
      <c r="J222" s="15">
        <v>975287</v>
      </c>
    </row>
    <row r="223" spans="1:10" ht="18" customHeight="1">
      <c r="A223" s="3" t="s">
        <v>158</v>
      </c>
      <c r="D223" s="16">
        <v>185415</v>
      </c>
      <c r="E223" s="25"/>
      <c r="F223" s="16">
        <v>438800</v>
      </c>
      <c r="G223" s="16"/>
      <c r="H223" s="16">
        <v>185714</v>
      </c>
      <c r="I223" s="25"/>
      <c r="J223" s="16">
        <v>252330</v>
      </c>
    </row>
    <row r="224" spans="1:10" ht="18" customHeight="1">
      <c r="A224" s="3" t="s">
        <v>73</v>
      </c>
      <c r="D224" s="16">
        <v>490460</v>
      </c>
      <c r="E224" s="1"/>
      <c r="F224" s="16">
        <v>516178</v>
      </c>
      <c r="G224" s="16"/>
      <c r="H224" s="16">
        <v>363870</v>
      </c>
      <c r="I224" s="1"/>
      <c r="J224" s="16">
        <v>476633</v>
      </c>
    </row>
    <row r="225" spans="1:10" ht="18" customHeight="1">
      <c r="A225" s="3" t="s">
        <v>74</v>
      </c>
      <c r="D225" s="16">
        <v>459515</v>
      </c>
      <c r="E225" s="1"/>
      <c r="F225" s="16">
        <v>469743</v>
      </c>
      <c r="G225" s="16"/>
      <c r="H225" s="16">
        <v>374784</v>
      </c>
      <c r="I225" s="1"/>
      <c r="J225" s="16">
        <v>185386</v>
      </c>
    </row>
    <row r="226" spans="1:10" ht="18" customHeight="1">
      <c r="A226" s="3" t="s">
        <v>290</v>
      </c>
      <c r="D226" s="16">
        <v>5854849</v>
      </c>
      <c r="E226" s="1"/>
      <c r="F226" s="16">
        <v>6416570</v>
      </c>
      <c r="G226" s="16"/>
      <c r="H226" s="16">
        <v>4652845</v>
      </c>
      <c r="I226" s="1"/>
      <c r="J226" s="16">
        <v>6013098</v>
      </c>
    </row>
    <row r="227" spans="1:10" ht="18" customHeight="1">
      <c r="A227" s="3" t="s">
        <v>190</v>
      </c>
      <c r="D227" s="16">
        <v>326452</v>
      </c>
      <c r="E227" s="1"/>
      <c r="F227" s="16">
        <v>304500</v>
      </c>
      <c r="G227" s="16"/>
      <c r="H227" s="16">
        <v>244526</v>
      </c>
      <c r="I227" s="1"/>
      <c r="J227" s="16">
        <v>304500</v>
      </c>
    </row>
    <row r="228" spans="1:10" ht="18" customHeight="1">
      <c r="A228" s="3" t="s">
        <v>75</v>
      </c>
      <c r="D228" s="16">
        <v>1423594</v>
      </c>
      <c r="E228" s="25"/>
      <c r="F228" s="16">
        <v>1516120</v>
      </c>
      <c r="G228" s="16"/>
      <c r="H228" s="16">
        <v>1123074</v>
      </c>
      <c r="I228" s="25"/>
      <c r="J228" s="16">
        <v>1529758</v>
      </c>
    </row>
    <row r="229" spans="1:10" ht="18" customHeight="1">
      <c r="A229" s="3" t="s">
        <v>288</v>
      </c>
      <c r="D229" s="16">
        <v>56881</v>
      </c>
      <c r="E229" s="25"/>
      <c r="F229" s="16">
        <v>35000</v>
      </c>
      <c r="G229" s="16"/>
      <c r="H229" s="16">
        <v>137647</v>
      </c>
      <c r="I229" s="25"/>
      <c r="J229" s="16">
        <v>35000</v>
      </c>
    </row>
    <row r="230" spans="1:10" ht="18" customHeight="1">
      <c r="A230" s="3" t="s">
        <v>271</v>
      </c>
      <c r="D230" s="16">
        <v>150090</v>
      </c>
      <c r="E230" s="25"/>
      <c r="F230" s="16">
        <v>163812</v>
      </c>
      <c r="G230" s="16"/>
      <c r="H230" s="16">
        <v>88863</v>
      </c>
      <c r="I230" s="25"/>
      <c r="J230" s="16">
        <v>152404</v>
      </c>
    </row>
    <row r="231" spans="1:10" ht="18" customHeight="1">
      <c r="A231" s="3" t="s">
        <v>287</v>
      </c>
      <c r="D231" s="16">
        <v>122439</v>
      </c>
      <c r="E231" s="25"/>
      <c r="F231" s="16">
        <v>126440</v>
      </c>
      <c r="G231" s="16"/>
      <c r="H231" s="16">
        <v>91872</v>
      </c>
      <c r="I231" s="25"/>
      <c r="J231" s="16">
        <v>0</v>
      </c>
    </row>
    <row r="232" spans="1:10" ht="18" customHeight="1">
      <c r="A232" s="3" t="s">
        <v>445</v>
      </c>
      <c r="D232" s="16">
        <v>0</v>
      </c>
      <c r="E232" s="25"/>
      <c r="F232" s="16">
        <v>0</v>
      </c>
      <c r="G232" s="16"/>
      <c r="H232" s="16">
        <v>0</v>
      </c>
      <c r="I232" s="25"/>
      <c r="J232" s="16">
        <v>119146</v>
      </c>
    </row>
    <row r="233" spans="1:10" ht="18" customHeight="1">
      <c r="A233" s="3" t="s">
        <v>289</v>
      </c>
      <c r="D233" s="16">
        <v>218780</v>
      </c>
      <c r="E233" s="1"/>
      <c r="F233" s="16">
        <v>242308</v>
      </c>
      <c r="G233" s="16"/>
      <c r="H233" s="16">
        <v>128578</v>
      </c>
      <c r="I233" s="1"/>
      <c r="J233" s="16">
        <v>238362</v>
      </c>
    </row>
    <row r="234" spans="1:10" ht="18" customHeight="1">
      <c r="A234" s="3" t="s">
        <v>171</v>
      </c>
      <c r="D234" s="16">
        <v>1345861</v>
      </c>
      <c r="E234" s="25"/>
      <c r="F234" s="16">
        <v>1359701</v>
      </c>
      <c r="G234" s="16"/>
      <c r="H234" s="16">
        <f>1081126+3475</f>
        <v>1084601</v>
      </c>
      <c r="I234" s="25"/>
      <c r="J234" s="16">
        <v>1315266</v>
      </c>
    </row>
    <row r="235" spans="1:10" ht="18" customHeight="1">
      <c r="A235" s="3" t="s">
        <v>270</v>
      </c>
      <c r="D235" s="16">
        <v>289952</v>
      </c>
      <c r="E235" s="1"/>
      <c r="F235" s="16">
        <v>205000</v>
      </c>
      <c r="G235" s="16"/>
      <c r="H235" s="16">
        <v>211664</v>
      </c>
      <c r="I235" s="1"/>
      <c r="J235" s="16">
        <v>225000</v>
      </c>
    </row>
    <row r="236" spans="1:10" s="16" customFormat="1" ht="18" customHeight="1">
      <c r="A236" s="3" t="s">
        <v>360</v>
      </c>
      <c r="D236" s="16">
        <v>4489662</v>
      </c>
      <c r="E236" s="25"/>
      <c r="F236" s="16">
        <v>4607781</v>
      </c>
      <c r="H236" s="16">
        <v>3350797</v>
      </c>
      <c r="I236" s="25"/>
      <c r="J236" s="16">
        <v>4547899</v>
      </c>
    </row>
    <row r="237" spans="1:10" ht="18" customHeight="1">
      <c r="A237" s="3" t="s">
        <v>172</v>
      </c>
      <c r="D237" s="16">
        <v>634167</v>
      </c>
      <c r="E237" s="1"/>
      <c r="F237" s="16">
        <v>616025</v>
      </c>
      <c r="G237" s="16"/>
      <c r="H237" s="16">
        <v>446690</v>
      </c>
      <c r="I237" s="1"/>
      <c r="J237" s="16">
        <v>616025</v>
      </c>
    </row>
    <row r="238" spans="1:10" ht="18" customHeight="1">
      <c r="A238" s="3" t="s">
        <v>173</v>
      </c>
      <c r="D238" s="16">
        <v>400342</v>
      </c>
      <c r="E238" s="1"/>
      <c r="F238" s="16">
        <v>426750</v>
      </c>
      <c r="G238" s="16"/>
      <c r="H238" s="16">
        <v>345857</v>
      </c>
      <c r="I238" s="1"/>
      <c r="J238" s="16">
        <v>469250</v>
      </c>
    </row>
    <row r="239" spans="1:10" ht="18" customHeight="1">
      <c r="A239" s="3" t="s">
        <v>174</v>
      </c>
      <c r="D239" s="16">
        <v>270240</v>
      </c>
      <c r="E239" s="1"/>
      <c r="F239" s="16">
        <v>251750</v>
      </c>
      <c r="G239" s="16"/>
      <c r="H239" s="16">
        <v>194201</v>
      </c>
      <c r="I239" s="1"/>
      <c r="J239" s="16">
        <v>251750</v>
      </c>
    </row>
    <row r="240" spans="1:10" ht="18" customHeight="1">
      <c r="A240" s="3" t="s">
        <v>175</v>
      </c>
      <c r="D240" s="16">
        <v>2982594</v>
      </c>
      <c r="E240" s="1"/>
      <c r="F240" s="16">
        <v>3081115</v>
      </c>
      <c r="G240" s="16"/>
      <c r="H240" s="16">
        <v>2462948</v>
      </c>
      <c r="I240" s="1"/>
      <c r="J240" s="16">
        <v>3063085</v>
      </c>
    </row>
    <row r="241" spans="1:10" ht="18" customHeight="1">
      <c r="A241" s="3" t="s">
        <v>176</v>
      </c>
      <c r="D241" s="16">
        <v>454081</v>
      </c>
      <c r="E241" s="1"/>
      <c r="F241" s="16">
        <v>530723</v>
      </c>
      <c r="G241" s="16"/>
      <c r="H241" s="16">
        <v>401078</v>
      </c>
      <c r="I241" s="1"/>
      <c r="J241" s="16">
        <v>572128</v>
      </c>
    </row>
    <row r="242" spans="1:10" ht="18" customHeight="1">
      <c r="A242" s="3" t="s">
        <v>177</v>
      </c>
      <c r="D242" s="16">
        <v>33750</v>
      </c>
      <c r="E242" s="1"/>
      <c r="F242" s="16">
        <v>54000</v>
      </c>
      <c r="G242" s="16"/>
      <c r="H242" s="16">
        <v>16174</v>
      </c>
      <c r="I242" s="1"/>
      <c r="J242" s="16">
        <v>54000</v>
      </c>
    </row>
    <row r="243" spans="1:10" ht="18" customHeight="1">
      <c r="A243" s="3" t="s">
        <v>142</v>
      </c>
      <c r="D243" s="16">
        <v>680463</v>
      </c>
      <c r="E243" s="1"/>
      <c r="F243" s="16">
        <v>771310</v>
      </c>
      <c r="G243" s="16"/>
      <c r="H243" s="16">
        <v>562546</v>
      </c>
      <c r="I243" s="1"/>
      <c r="J243" s="16">
        <v>740310</v>
      </c>
    </row>
    <row r="244" spans="1:10" ht="18" customHeight="1">
      <c r="A244" s="4" t="s">
        <v>141</v>
      </c>
      <c r="D244" s="16">
        <v>124594</v>
      </c>
      <c r="F244" s="16">
        <v>155000</v>
      </c>
      <c r="G244" s="16"/>
      <c r="H244" s="16">
        <v>120339</v>
      </c>
      <c r="I244" s="4"/>
      <c r="J244" s="16">
        <v>155000</v>
      </c>
    </row>
    <row r="245" spans="1:10" ht="18" customHeight="1">
      <c r="A245" s="3" t="s">
        <v>11</v>
      </c>
      <c r="D245" s="19">
        <v>200237</v>
      </c>
      <c r="E245" s="6"/>
      <c r="F245" s="19">
        <v>1089405</v>
      </c>
      <c r="G245" s="53"/>
      <c r="H245" s="19">
        <f>28997+4964+76261+29795+31971+3658+484774+37514</f>
        <v>697934</v>
      </c>
      <c r="I245" s="6"/>
      <c r="J245" s="19">
        <v>532577</v>
      </c>
    </row>
    <row r="246" spans="1:10" ht="18" customHeight="1">
      <c r="A246" s="3" t="s">
        <v>76</v>
      </c>
      <c r="D246" s="20">
        <f>SUM(D176:D245)</f>
        <v>46977824</v>
      </c>
      <c r="E246" s="22"/>
      <c r="F246" s="20">
        <f>SUM(F176:F245)</f>
        <v>50702051</v>
      </c>
      <c r="G246" s="8"/>
      <c r="H246" s="20">
        <f>SUM(H176:H245)</f>
        <v>37890469</v>
      </c>
      <c r="I246" s="22"/>
      <c r="J246" s="20">
        <f>SUM(J176:J245)</f>
        <v>48216767</v>
      </c>
    </row>
    <row r="247" spans="1:11" ht="18" customHeight="1" thickBot="1">
      <c r="A247" s="3" t="s">
        <v>12</v>
      </c>
      <c r="D247" s="21">
        <f>D246</f>
        <v>46977824</v>
      </c>
      <c r="E247" s="22"/>
      <c r="F247" s="21">
        <f>F246</f>
        <v>50702051</v>
      </c>
      <c r="G247" s="8"/>
      <c r="H247" s="21">
        <f>H246</f>
        <v>37890469</v>
      </c>
      <c r="I247" s="22"/>
      <c r="J247" s="21">
        <f>J246</f>
        <v>48216767</v>
      </c>
      <c r="K247" s="66"/>
    </row>
    <row r="248" spans="1:11" ht="18" customHeight="1" thickTop="1">
      <c r="A248" s="3"/>
      <c r="D248" s="8"/>
      <c r="E248" s="22"/>
      <c r="F248" s="8"/>
      <c r="G248" s="8"/>
      <c r="H248" s="8"/>
      <c r="I248" s="22"/>
      <c r="J248" s="8"/>
      <c r="K248" s="66"/>
    </row>
    <row r="249" spans="1:10" ht="18" customHeight="1">
      <c r="A249" s="81" t="s">
        <v>0</v>
      </c>
      <c r="B249" s="81"/>
      <c r="C249" s="81"/>
      <c r="D249" s="81"/>
      <c r="E249" s="81"/>
      <c r="F249" s="81"/>
      <c r="G249" s="81"/>
      <c r="H249" s="81"/>
      <c r="I249" s="81"/>
      <c r="J249" s="81"/>
    </row>
    <row r="250" spans="1:10" ht="18" customHeight="1">
      <c r="A250" s="80" t="s">
        <v>429</v>
      </c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1:10" ht="18" customHeight="1">
      <c r="A251" s="80" t="s">
        <v>416</v>
      </c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1:10" ht="18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1:10" ht="18" customHeight="1">
      <c r="A253" s="7" t="s">
        <v>13</v>
      </c>
      <c r="D253" s="2" t="s">
        <v>204</v>
      </c>
      <c r="F253" s="2" t="s">
        <v>52</v>
      </c>
      <c r="G253" s="2"/>
      <c r="H253" s="2" t="s">
        <v>204</v>
      </c>
      <c r="I253" s="4"/>
      <c r="J253" s="2" t="s">
        <v>53</v>
      </c>
    </row>
    <row r="254" spans="1:10" ht="18" customHeight="1">
      <c r="A254" s="7" t="s">
        <v>14</v>
      </c>
      <c r="D254" s="14" t="s">
        <v>368</v>
      </c>
      <c r="F254" s="14" t="s">
        <v>383</v>
      </c>
      <c r="G254" s="17"/>
      <c r="H254" s="18" t="s">
        <v>418</v>
      </c>
      <c r="I254" s="4"/>
      <c r="J254" s="14" t="s">
        <v>419</v>
      </c>
    </row>
    <row r="255" spans="1:11" ht="18" customHeight="1">
      <c r="A255" s="3" t="s">
        <v>15</v>
      </c>
      <c r="D255" s="22">
        <v>2486961</v>
      </c>
      <c r="E255" s="16"/>
      <c r="F255" s="22">
        <v>2582425</v>
      </c>
      <c r="G255" s="22"/>
      <c r="H255" s="22">
        <v>2022831</v>
      </c>
      <c r="I255" s="16"/>
      <c r="J255" s="22">
        <v>2582066</v>
      </c>
      <c r="K255" s="25"/>
    </row>
    <row r="256" spans="1:11" ht="18" customHeight="1">
      <c r="A256" s="3" t="s">
        <v>400</v>
      </c>
      <c r="D256" s="1">
        <v>3092544</v>
      </c>
      <c r="F256" s="1">
        <v>3544105</v>
      </c>
      <c r="G256" s="1"/>
      <c r="H256" s="1">
        <v>2769197</v>
      </c>
      <c r="I256" s="4"/>
      <c r="J256" s="1">
        <v>6300000</v>
      </c>
      <c r="K256" s="1"/>
    </row>
    <row r="257" spans="1:11" ht="18" customHeight="1">
      <c r="A257" s="3" t="s">
        <v>17</v>
      </c>
      <c r="D257" s="1">
        <v>4106153</v>
      </c>
      <c r="E257" s="1"/>
      <c r="F257" s="1">
        <v>4823500</v>
      </c>
      <c r="G257" s="1"/>
      <c r="H257" s="1">
        <v>3453447</v>
      </c>
      <c r="I257" s="1"/>
      <c r="J257" s="1">
        <v>5187700</v>
      </c>
      <c r="K257" s="1"/>
    </row>
    <row r="258" spans="1:11" ht="18" customHeight="1">
      <c r="A258" s="3" t="s">
        <v>18</v>
      </c>
      <c r="D258" s="1">
        <v>3161204</v>
      </c>
      <c r="E258" s="1"/>
      <c r="F258" s="1">
        <v>3190000</v>
      </c>
      <c r="G258" s="1"/>
      <c r="H258" s="1">
        <v>2432139</v>
      </c>
      <c r="I258" s="1"/>
      <c r="J258" s="1">
        <v>3230000</v>
      </c>
      <c r="K258" s="1"/>
    </row>
    <row r="259" spans="1:11" ht="18" customHeight="1">
      <c r="A259" s="3" t="s">
        <v>178</v>
      </c>
      <c r="D259" s="1">
        <v>177293</v>
      </c>
      <c r="E259" s="1"/>
      <c r="F259" s="1">
        <v>244449</v>
      </c>
      <c r="G259" s="1"/>
      <c r="H259" s="1">
        <v>184635</v>
      </c>
      <c r="I259" s="1"/>
      <c r="J259" s="1">
        <v>246607</v>
      </c>
      <c r="K259" s="1"/>
    </row>
    <row r="260" spans="1:11" ht="18" customHeight="1">
      <c r="A260" s="3" t="s">
        <v>179</v>
      </c>
      <c r="D260" s="1">
        <v>2455469</v>
      </c>
      <c r="E260" s="1"/>
      <c r="F260" s="1">
        <v>2462272</v>
      </c>
      <c r="G260" s="1"/>
      <c r="H260" s="1">
        <v>2049573</v>
      </c>
      <c r="I260" s="1"/>
      <c r="J260" s="1">
        <v>2499598</v>
      </c>
      <c r="K260" s="1"/>
    </row>
    <row r="261" spans="1:11" ht="18" customHeight="1">
      <c r="A261" s="3" t="s">
        <v>210</v>
      </c>
      <c r="D261" s="22">
        <v>21270</v>
      </c>
      <c r="E261" s="22"/>
      <c r="F261" s="22">
        <v>55000</v>
      </c>
      <c r="G261" s="22"/>
      <c r="H261" s="22">
        <v>67975</v>
      </c>
      <c r="I261" s="22"/>
      <c r="J261" s="22">
        <v>44811</v>
      </c>
      <c r="K261" s="1"/>
    </row>
    <row r="262" spans="1:11" ht="18" customHeight="1">
      <c r="A262" s="3" t="s">
        <v>202</v>
      </c>
      <c r="D262" s="1">
        <v>352165</v>
      </c>
      <c r="E262" s="1"/>
      <c r="F262" s="1">
        <v>352165</v>
      </c>
      <c r="G262" s="1"/>
      <c r="H262" s="1">
        <v>293479</v>
      </c>
      <c r="I262" s="1"/>
      <c r="J262" s="1">
        <v>352165</v>
      </c>
      <c r="K262" s="1"/>
    </row>
    <row r="263" spans="1:11" ht="18" customHeight="1">
      <c r="A263" s="3" t="s">
        <v>20</v>
      </c>
      <c r="D263" s="1">
        <f>233089-13000</f>
        <v>220089</v>
      </c>
      <c r="E263" s="1"/>
      <c r="F263" s="1">
        <v>226533</v>
      </c>
      <c r="G263" s="1"/>
      <c r="H263" s="1">
        <v>159200</v>
      </c>
      <c r="I263" s="1"/>
      <c r="J263" s="1">
        <v>208891</v>
      </c>
      <c r="K263" s="1"/>
    </row>
    <row r="264" spans="1:10" ht="18" customHeight="1">
      <c r="A264" s="3" t="s">
        <v>180</v>
      </c>
      <c r="D264" s="1">
        <v>564362</v>
      </c>
      <c r="E264" s="1"/>
      <c r="F264" s="1">
        <f>555245+150000+55000</f>
        <v>760245</v>
      </c>
      <c r="G264" s="1"/>
      <c r="H264" s="1">
        <v>596705</v>
      </c>
      <c r="I264" s="1"/>
      <c r="J264" s="1">
        <v>604591</v>
      </c>
    </row>
    <row r="265" spans="1:10" ht="18" customHeight="1">
      <c r="A265" s="3" t="s">
        <v>181</v>
      </c>
      <c r="D265" s="1">
        <v>89810</v>
      </c>
      <c r="E265" s="1"/>
      <c r="F265" s="1">
        <v>170951</v>
      </c>
      <c r="G265" s="1"/>
      <c r="H265" s="1">
        <v>62633</v>
      </c>
      <c r="I265" s="1"/>
      <c r="J265" s="1">
        <v>151328</v>
      </c>
    </row>
    <row r="266" spans="1:10" ht="18" customHeight="1">
      <c r="A266" s="3" t="s">
        <v>22</v>
      </c>
      <c r="D266" s="1">
        <v>4341536</v>
      </c>
      <c r="E266" s="1"/>
      <c r="F266" s="1">
        <v>4510478</v>
      </c>
      <c r="G266" s="1"/>
      <c r="H266" s="1">
        <v>3647556</v>
      </c>
      <c r="I266" s="1"/>
      <c r="J266" s="1">
        <v>4600287</v>
      </c>
    </row>
    <row r="267" spans="1:10" ht="18" customHeight="1">
      <c r="A267" s="3" t="s">
        <v>23</v>
      </c>
      <c r="D267" s="1">
        <v>516227</v>
      </c>
      <c r="E267" s="1"/>
      <c r="F267" s="1">
        <v>1157628</v>
      </c>
      <c r="G267" s="1"/>
      <c r="H267" s="1">
        <v>1147037</v>
      </c>
      <c r="I267" s="1"/>
      <c r="J267" s="1">
        <v>1097808</v>
      </c>
    </row>
    <row r="268" spans="1:10" ht="18" customHeight="1">
      <c r="A268" s="3" t="s">
        <v>24</v>
      </c>
      <c r="D268" s="23">
        <v>494232</v>
      </c>
      <c r="E268" s="1"/>
      <c r="F268" s="23">
        <v>1720000</v>
      </c>
      <c r="G268" s="6"/>
      <c r="H268" s="23">
        <v>1340376</v>
      </c>
      <c r="I268" s="1"/>
      <c r="J268" s="23">
        <v>1000000</v>
      </c>
    </row>
    <row r="269" spans="1:10" ht="18" customHeight="1">
      <c r="A269" s="3" t="s">
        <v>196</v>
      </c>
      <c r="D269" s="20">
        <f>SUM(D255:D268)</f>
        <v>22079315</v>
      </c>
      <c r="E269" s="22"/>
      <c r="F269" s="20">
        <f>SUM(F255:F268)</f>
        <v>25799751</v>
      </c>
      <c r="G269" s="8"/>
      <c r="H269" s="20">
        <f>SUM(H255:H268)</f>
        <v>20226783</v>
      </c>
      <c r="I269" s="22"/>
      <c r="J269" s="20">
        <f>SUM(J255:J268)</f>
        <v>28105852</v>
      </c>
    </row>
    <row r="270" spans="1:10" ht="18" customHeight="1">
      <c r="A270" s="3"/>
      <c r="D270" s="8"/>
      <c r="E270" s="22"/>
      <c r="F270" s="8"/>
      <c r="G270" s="8"/>
      <c r="H270" s="8"/>
      <c r="I270" s="22"/>
      <c r="J270" s="8"/>
    </row>
    <row r="271" spans="1:10" ht="18" customHeight="1">
      <c r="A271" s="7" t="s">
        <v>431</v>
      </c>
      <c r="D271" s="8"/>
      <c r="E271" s="22"/>
      <c r="F271" s="8"/>
      <c r="G271" s="8"/>
      <c r="H271" s="8"/>
      <c r="I271" s="22"/>
      <c r="J271" s="8"/>
    </row>
    <row r="272" spans="1:10" ht="18" customHeight="1">
      <c r="A272" s="3" t="s">
        <v>230</v>
      </c>
      <c r="D272" s="22">
        <v>721126</v>
      </c>
      <c r="E272" s="22"/>
      <c r="F272" s="22">
        <v>730938</v>
      </c>
      <c r="G272" s="22"/>
      <c r="H272" s="22">
        <v>531295</v>
      </c>
      <c r="I272" s="22"/>
      <c r="J272" s="22">
        <v>773886</v>
      </c>
    </row>
    <row r="273" spans="1:10" ht="18" customHeight="1">
      <c r="A273" s="3" t="s">
        <v>333</v>
      </c>
      <c r="D273" s="24">
        <v>4953</v>
      </c>
      <c r="E273" s="1"/>
      <c r="F273" s="24">
        <v>0</v>
      </c>
      <c r="G273" s="6"/>
      <c r="H273" s="24">
        <v>0</v>
      </c>
      <c r="I273" s="1"/>
      <c r="J273" s="24">
        <v>0</v>
      </c>
    </row>
    <row r="274" spans="1:10" ht="18" customHeight="1">
      <c r="A274" s="3" t="s">
        <v>231</v>
      </c>
      <c r="D274" s="6">
        <v>34975</v>
      </c>
      <c r="E274" s="1"/>
      <c r="F274" s="24">
        <v>35000</v>
      </c>
      <c r="G274" s="6"/>
      <c r="H274" s="6">
        <v>18264</v>
      </c>
      <c r="I274" s="1"/>
      <c r="J274" s="24">
        <v>35000</v>
      </c>
    </row>
    <row r="275" spans="1:10" ht="18" customHeight="1">
      <c r="A275" s="3" t="s">
        <v>131</v>
      </c>
      <c r="D275" s="1">
        <v>284470</v>
      </c>
      <c r="E275" s="1"/>
      <c r="F275" s="1">
        <v>140646</v>
      </c>
      <c r="G275" s="1"/>
      <c r="H275" s="1">
        <v>110864</v>
      </c>
      <c r="I275" s="1"/>
      <c r="J275" s="1">
        <v>148949</v>
      </c>
    </row>
    <row r="276" spans="1:10" ht="18" customHeight="1">
      <c r="A276" s="3" t="s">
        <v>77</v>
      </c>
      <c r="D276" s="25">
        <v>0</v>
      </c>
      <c r="E276" s="25"/>
      <c r="F276" s="25">
        <v>50000</v>
      </c>
      <c r="G276" s="25"/>
      <c r="H276" s="25">
        <v>0</v>
      </c>
      <c r="I276" s="25"/>
      <c r="J276" s="25">
        <v>50000</v>
      </c>
    </row>
    <row r="277" spans="1:10" ht="18" customHeight="1">
      <c r="A277" s="3" t="s">
        <v>27</v>
      </c>
      <c r="D277" s="25">
        <v>348173</v>
      </c>
      <c r="E277" s="25"/>
      <c r="F277" s="25">
        <v>487128</v>
      </c>
      <c r="G277" s="25"/>
      <c r="H277" s="25">
        <v>376421</v>
      </c>
      <c r="I277" s="25"/>
      <c r="J277" s="25">
        <v>515535</v>
      </c>
    </row>
    <row r="278" spans="1:10" ht="18" customHeight="1">
      <c r="A278" s="3" t="s">
        <v>269</v>
      </c>
      <c r="D278" s="25">
        <v>18000</v>
      </c>
      <c r="E278" s="25"/>
      <c r="F278" s="25">
        <v>18000</v>
      </c>
      <c r="G278" s="25"/>
      <c r="H278" s="25">
        <v>13500</v>
      </c>
      <c r="I278" s="25"/>
      <c r="J278" s="25">
        <v>18000</v>
      </c>
    </row>
    <row r="279" spans="1:10" ht="18" customHeight="1">
      <c r="A279" s="3" t="s">
        <v>284</v>
      </c>
      <c r="C279" s="16"/>
      <c r="D279" s="25">
        <v>72719</v>
      </c>
      <c r="E279" s="25"/>
      <c r="F279" s="25">
        <v>77663</v>
      </c>
      <c r="G279" s="25"/>
      <c r="H279" s="25">
        <v>59552</v>
      </c>
      <c r="I279" s="25"/>
      <c r="J279" s="25">
        <v>84059</v>
      </c>
    </row>
    <row r="280" spans="1:10" ht="18" customHeight="1">
      <c r="A280" s="3" t="s">
        <v>192</v>
      </c>
      <c r="D280" s="1">
        <v>367076</v>
      </c>
      <c r="E280" s="1"/>
      <c r="F280" s="1">
        <v>477951</v>
      </c>
      <c r="G280" s="1"/>
      <c r="H280" s="1">
        <v>253727</v>
      </c>
      <c r="I280" s="1"/>
      <c r="J280" s="1">
        <v>467500</v>
      </c>
    </row>
    <row r="281" spans="1:10" ht="18" customHeight="1">
      <c r="A281" s="3" t="s">
        <v>197</v>
      </c>
      <c r="D281" s="1">
        <v>26210</v>
      </c>
      <c r="E281" s="1"/>
      <c r="F281" s="1">
        <v>35000</v>
      </c>
      <c r="G281" s="1"/>
      <c r="H281" s="1">
        <v>6286</v>
      </c>
      <c r="I281" s="1"/>
      <c r="J281" s="1">
        <v>35000</v>
      </c>
    </row>
    <row r="282" spans="1:10" ht="18" customHeight="1">
      <c r="A282" s="3" t="s">
        <v>28</v>
      </c>
      <c r="D282" s="25">
        <v>3819011</v>
      </c>
      <c r="E282" s="25"/>
      <c r="F282" s="25">
        <v>6863268</v>
      </c>
      <c r="G282" s="25"/>
      <c r="H282" s="25">
        <v>4158292</v>
      </c>
      <c r="I282" s="25"/>
      <c r="J282" s="25">
        <v>6917990</v>
      </c>
    </row>
    <row r="283" spans="1:10" ht="18" customHeight="1">
      <c r="A283" s="3" t="s">
        <v>29</v>
      </c>
      <c r="D283" s="1">
        <v>1170986</v>
      </c>
      <c r="E283" s="1"/>
      <c r="F283" s="1">
        <v>2000000</v>
      </c>
      <c r="G283" s="1"/>
      <c r="H283" s="1">
        <v>1281991</v>
      </c>
      <c r="I283" s="1"/>
      <c r="J283" s="1">
        <v>2000000</v>
      </c>
    </row>
    <row r="284" spans="1:10" ht="18" customHeight="1">
      <c r="A284" s="3" t="s">
        <v>246</v>
      </c>
      <c r="D284" s="1">
        <v>151604</v>
      </c>
      <c r="E284" s="1"/>
      <c r="F284" s="1">
        <v>166558</v>
      </c>
      <c r="G284" s="1"/>
      <c r="H284" s="1">
        <v>119918</v>
      </c>
      <c r="I284" s="1"/>
      <c r="J284" s="1">
        <v>166598</v>
      </c>
    </row>
    <row r="285" spans="1:10" ht="18" customHeight="1">
      <c r="A285" s="3" t="s">
        <v>233</v>
      </c>
      <c r="D285" s="25">
        <v>253559</v>
      </c>
      <c r="E285" s="25"/>
      <c r="F285" s="25">
        <v>300339</v>
      </c>
      <c r="G285" s="25"/>
      <c r="H285" s="25">
        <v>233253</v>
      </c>
      <c r="I285" s="25"/>
      <c r="J285" s="25">
        <v>300339</v>
      </c>
    </row>
    <row r="286" spans="1:10" ht="18" customHeight="1">
      <c r="A286" s="3" t="s">
        <v>234</v>
      </c>
      <c r="D286" s="6">
        <v>46507</v>
      </c>
      <c r="E286" s="1"/>
      <c r="F286" s="6">
        <v>77580</v>
      </c>
      <c r="G286" s="6"/>
      <c r="H286" s="60">
        <v>26723</v>
      </c>
      <c r="I286" s="1"/>
      <c r="J286" s="6">
        <v>90170</v>
      </c>
    </row>
    <row r="287" spans="1:10" ht="18" customHeight="1">
      <c r="A287" s="3" t="s">
        <v>384</v>
      </c>
      <c r="D287" s="26">
        <v>0</v>
      </c>
      <c r="E287" s="1"/>
      <c r="F287" s="25">
        <v>500</v>
      </c>
      <c r="G287" s="6"/>
      <c r="H287" s="26">
        <v>0</v>
      </c>
      <c r="I287" s="1"/>
      <c r="J287" s="25">
        <v>2500</v>
      </c>
    </row>
    <row r="288" spans="1:10" ht="18" customHeight="1">
      <c r="A288" s="3" t="s">
        <v>247</v>
      </c>
      <c r="D288" s="6">
        <v>1077364</v>
      </c>
      <c r="E288" s="1"/>
      <c r="F288" s="6">
        <v>819955</v>
      </c>
      <c r="G288" s="6"/>
      <c r="H288" s="6">
        <v>587489</v>
      </c>
      <c r="I288" s="1"/>
      <c r="J288" s="6">
        <v>888564</v>
      </c>
    </row>
    <row r="289" spans="1:10" ht="18" customHeight="1">
      <c r="A289" s="3" t="s">
        <v>248</v>
      </c>
      <c r="D289" s="6">
        <v>25000</v>
      </c>
      <c r="E289" s="1"/>
      <c r="F289" s="25">
        <v>25000</v>
      </c>
      <c r="G289" s="6"/>
      <c r="H289" s="6">
        <v>25000</v>
      </c>
      <c r="I289" s="1"/>
      <c r="J289" s="25">
        <v>25000</v>
      </c>
    </row>
    <row r="290" spans="1:10" ht="18" customHeight="1">
      <c r="A290" s="3" t="s">
        <v>249</v>
      </c>
      <c r="D290" s="6">
        <v>302107</v>
      </c>
      <c r="E290" s="1"/>
      <c r="F290" s="6">
        <v>579000</v>
      </c>
      <c r="G290" s="6"/>
      <c r="H290" s="6">
        <v>459508</v>
      </c>
      <c r="I290" s="1"/>
      <c r="J290" s="6">
        <v>924300</v>
      </c>
    </row>
    <row r="291" spans="1:10" ht="18" customHeight="1">
      <c r="A291" s="3" t="s">
        <v>396</v>
      </c>
      <c r="D291" s="26">
        <v>0</v>
      </c>
      <c r="E291" s="1"/>
      <c r="F291" s="25">
        <v>0</v>
      </c>
      <c r="G291" s="6"/>
      <c r="H291" s="26">
        <v>0</v>
      </c>
      <c r="I291" s="1"/>
      <c r="J291" s="25">
        <v>0</v>
      </c>
    </row>
    <row r="292" spans="1:10" ht="18" customHeight="1">
      <c r="A292" s="3" t="s">
        <v>243</v>
      </c>
      <c r="D292" s="25">
        <v>14949</v>
      </c>
      <c r="E292" s="25"/>
      <c r="F292" s="25">
        <v>60000</v>
      </c>
      <c r="G292" s="25"/>
      <c r="H292" s="25">
        <v>35466</v>
      </c>
      <c r="I292" s="25"/>
      <c r="J292" s="25">
        <v>60000</v>
      </c>
    </row>
    <row r="293" spans="1:10" ht="18" customHeight="1">
      <c r="A293" s="3" t="s">
        <v>251</v>
      </c>
      <c r="C293" s="16"/>
      <c r="D293" s="24">
        <v>7263</v>
      </c>
      <c r="E293" s="16"/>
      <c r="F293" s="25">
        <v>236000</v>
      </c>
      <c r="G293" s="25"/>
      <c r="H293" s="25">
        <v>72043</v>
      </c>
      <c r="I293" s="16"/>
      <c r="J293" s="25">
        <v>236000</v>
      </c>
    </row>
    <row r="294" spans="1:10" ht="18" customHeight="1">
      <c r="A294" s="3" t="s">
        <v>250</v>
      </c>
      <c r="D294" s="25">
        <v>196000</v>
      </c>
      <c r="E294" s="25"/>
      <c r="F294" s="25">
        <v>200000</v>
      </c>
      <c r="G294" s="25"/>
      <c r="H294" s="25">
        <v>147000</v>
      </c>
      <c r="I294" s="25"/>
      <c r="J294" s="25">
        <v>200000</v>
      </c>
    </row>
    <row r="295" spans="1:10" ht="18" customHeight="1">
      <c r="A295" s="81" t="s">
        <v>0</v>
      </c>
      <c r="B295" s="81"/>
      <c r="C295" s="81"/>
      <c r="D295" s="81"/>
      <c r="E295" s="81"/>
      <c r="F295" s="81"/>
      <c r="G295" s="81"/>
      <c r="H295" s="81"/>
      <c r="I295" s="81"/>
      <c r="J295" s="81"/>
    </row>
    <row r="296" spans="1:10" ht="18" customHeight="1">
      <c r="A296" s="80" t="s">
        <v>429</v>
      </c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1:10" ht="18" customHeight="1">
      <c r="A297" s="80" t="s">
        <v>416</v>
      </c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1:10" ht="18" customHeight="1">
      <c r="A298" s="80" t="s">
        <v>150</v>
      </c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4:10" ht="18" customHeight="1">
      <c r="D299" s="2" t="s">
        <v>204</v>
      </c>
      <c r="F299" s="2" t="s">
        <v>52</v>
      </c>
      <c r="G299" s="2"/>
      <c r="H299" s="2" t="s">
        <v>204</v>
      </c>
      <c r="I299" s="4"/>
      <c r="J299" s="2" t="s">
        <v>53</v>
      </c>
    </row>
    <row r="300" spans="1:10" ht="18" customHeight="1">
      <c r="A300" s="7" t="s">
        <v>432</v>
      </c>
      <c r="D300" s="14" t="s">
        <v>368</v>
      </c>
      <c r="F300" s="14" t="s">
        <v>383</v>
      </c>
      <c r="G300" s="17"/>
      <c r="H300" s="18" t="s">
        <v>418</v>
      </c>
      <c r="I300" s="4"/>
      <c r="J300" s="14" t="s">
        <v>419</v>
      </c>
    </row>
    <row r="301" spans="1:10" ht="18" customHeight="1">
      <c r="A301" s="3" t="s">
        <v>140</v>
      </c>
      <c r="D301" s="22">
        <v>387067</v>
      </c>
      <c r="E301" s="15"/>
      <c r="F301" s="22">
        <v>605707</v>
      </c>
      <c r="G301" s="22"/>
      <c r="H301" s="22">
        <v>307807</v>
      </c>
      <c r="I301" s="15"/>
      <c r="J301" s="22">
        <v>603962</v>
      </c>
    </row>
    <row r="302" spans="1:10" ht="18" customHeight="1">
      <c r="A302" s="3" t="s">
        <v>238</v>
      </c>
      <c r="D302" s="1">
        <v>20071</v>
      </c>
      <c r="E302" s="1"/>
      <c r="F302" s="1">
        <v>28000</v>
      </c>
      <c r="G302" s="1"/>
      <c r="H302" s="1">
        <v>11741</v>
      </c>
      <c r="I302" s="1"/>
      <c r="J302" s="1">
        <v>28000</v>
      </c>
    </row>
    <row r="303" spans="1:10" ht="18" customHeight="1">
      <c r="A303" s="3" t="s">
        <v>30</v>
      </c>
      <c r="D303" s="1">
        <v>87401</v>
      </c>
      <c r="E303" s="1"/>
      <c r="F303" s="1">
        <v>83155</v>
      </c>
      <c r="G303" s="1"/>
      <c r="H303" s="1">
        <v>63514</v>
      </c>
      <c r="I303" s="1"/>
      <c r="J303" s="1">
        <v>114155</v>
      </c>
    </row>
    <row r="304" spans="1:10" ht="18" customHeight="1">
      <c r="A304" s="3" t="s">
        <v>31</v>
      </c>
      <c r="D304" s="1">
        <v>686606</v>
      </c>
      <c r="E304" s="1"/>
      <c r="F304" s="1">
        <v>891057</v>
      </c>
      <c r="G304" s="1"/>
      <c r="H304" s="1">
        <v>440118</v>
      </c>
      <c r="I304" s="1"/>
      <c r="J304" s="1">
        <v>960370</v>
      </c>
    </row>
    <row r="305" spans="1:10" ht="18" customHeight="1">
      <c r="A305" s="3" t="s">
        <v>32</v>
      </c>
      <c r="D305" s="1">
        <v>349824</v>
      </c>
      <c r="E305" s="1"/>
      <c r="F305" s="25">
        <v>388705</v>
      </c>
      <c r="G305" s="1"/>
      <c r="H305" s="1">
        <v>317365</v>
      </c>
      <c r="I305" s="1"/>
      <c r="J305" s="25">
        <v>699797</v>
      </c>
    </row>
    <row r="306" spans="1:10" ht="18" customHeight="1">
      <c r="A306" s="3" t="s">
        <v>33</v>
      </c>
      <c r="D306" s="1">
        <v>5084</v>
      </c>
      <c r="E306" s="1"/>
      <c r="F306" s="1">
        <v>13000</v>
      </c>
      <c r="G306" s="1"/>
      <c r="H306" s="1">
        <v>5293</v>
      </c>
      <c r="I306" s="1"/>
      <c r="J306" s="1">
        <v>13000</v>
      </c>
    </row>
    <row r="307" spans="1:10" ht="18" customHeight="1">
      <c r="A307" s="3" t="s">
        <v>34</v>
      </c>
      <c r="D307" s="25">
        <v>216868</v>
      </c>
      <c r="E307" s="25"/>
      <c r="F307" s="25">
        <v>329052</v>
      </c>
      <c r="G307" s="25"/>
      <c r="H307" s="25">
        <v>182658</v>
      </c>
      <c r="I307" s="25"/>
      <c r="J307" s="25">
        <v>329052</v>
      </c>
    </row>
    <row r="308" spans="1:10" ht="18" customHeight="1">
      <c r="A308" s="3" t="s">
        <v>35</v>
      </c>
      <c r="D308" s="1">
        <v>118547</v>
      </c>
      <c r="E308" s="1"/>
      <c r="F308" s="1">
        <v>118715</v>
      </c>
      <c r="G308" s="1"/>
      <c r="H308" s="1">
        <v>147565</v>
      </c>
      <c r="I308" s="1">
        <v>81670</v>
      </c>
      <c r="J308" s="1">
        <v>123840</v>
      </c>
    </row>
    <row r="309" spans="1:10" ht="18" customHeight="1">
      <c r="A309" s="3" t="s">
        <v>78</v>
      </c>
      <c r="D309" s="1">
        <v>167629</v>
      </c>
      <c r="E309" s="1"/>
      <c r="F309" s="1">
        <v>458992</v>
      </c>
      <c r="G309" s="1"/>
      <c r="H309" s="1">
        <v>237789</v>
      </c>
      <c r="I309" s="1"/>
      <c r="J309" s="1">
        <v>835440</v>
      </c>
    </row>
    <row r="310" spans="1:10" ht="18" customHeight="1">
      <c r="A310" s="3" t="s">
        <v>285</v>
      </c>
      <c r="D310" s="26">
        <v>0</v>
      </c>
      <c r="E310" s="1"/>
      <c r="F310" s="26">
        <v>0</v>
      </c>
      <c r="G310" s="1"/>
      <c r="H310" s="26">
        <v>0</v>
      </c>
      <c r="I310" s="1"/>
      <c r="J310" s="26">
        <v>0</v>
      </c>
    </row>
    <row r="311" spans="1:10" ht="18" customHeight="1">
      <c r="A311" s="3" t="s">
        <v>79</v>
      </c>
      <c r="D311" s="1">
        <v>2542</v>
      </c>
      <c r="E311" s="1"/>
      <c r="F311" s="1">
        <v>5000</v>
      </c>
      <c r="G311" s="1"/>
      <c r="H311" s="1">
        <f>2382/2</f>
        <v>1191</v>
      </c>
      <c r="I311" s="1"/>
      <c r="J311" s="1">
        <v>5000</v>
      </c>
    </row>
    <row r="312" spans="1:10" ht="18" customHeight="1">
      <c r="A312" s="3" t="s">
        <v>80</v>
      </c>
      <c r="D312" s="1">
        <v>2542</v>
      </c>
      <c r="E312" s="1"/>
      <c r="F312" s="1">
        <v>5000</v>
      </c>
      <c r="G312" s="1"/>
      <c r="H312" s="1">
        <v>1191</v>
      </c>
      <c r="I312" s="1"/>
      <c r="J312" s="1">
        <v>5000</v>
      </c>
    </row>
    <row r="313" spans="1:10" ht="18" customHeight="1">
      <c r="A313" s="3" t="s">
        <v>38</v>
      </c>
      <c r="D313" s="1">
        <v>3151540</v>
      </c>
      <c r="E313" s="1"/>
      <c r="F313" s="1">
        <v>6485203</v>
      </c>
      <c r="G313" s="1"/>
      <c r="H313" s="1">
        <v>2249181</v>
      </c>
      <c r="I313" s="1"/>
      <c r="J313" s="1">
        <v>6431144</v>
      </c>
    </row>
    <row r="314" spans="1:10" ht="18" customHeight="1">
      <c r="A314" s="3" t="s">
        <v>155</v>
      </c>
      <c r="D314" s="1">
        <v>1580959</v>
      </c>
      <c r="E314" s="1"/>
      <c r="F314" s="1">
        <v>2616264</v>
      </c>
      <c r="G314" s="1"/>
      <c r="H314" s="1">
        <v>809922</v>
      </c>
      <c r="I314" s="1"/>
      <c r="J314" s="1">
        <v>2472048</v>
      </c>
    </row>
    <row r="315" spans="1:10" ht="18" customHeight="1">
      <c r="A315" s="3" t="s">
        <v>252</v>
      </c>
      <c r="D315" s="25">
        <v>0</v>
      </c>
      <c r="E315" s="25"/>
      <c r="F315" s="25">
        <v>364400</v>
      </c>
      <c r="G315" s="25"/>
      <c r="H315" s="25">
        <v>0</v>
      </c>
      <c r="I315" s="25"/>
      <c r="J315" s="25">
        <v>450000</v>
      </c>
    </row>
    <row r="316" spans="1:10" ht="18" customHeight="1">
      <c r="A316" s="3" t="s">
        <v>81</v>
      </c>
      <c r="D316" s="25">
        <v>1170296</v>
      </c>
      <c r="E316" s="25"/>
      <c r="F316" s="25">
        <v>1304547</v>
      </c>
      <c r="G316" s="25"/>
      <c r="H316" s="25">
        <v>758944</v>
      </c>
      <c r="I316" s="25"/>
      <c r="J316" s="25">
        <v>1361666</v>
      </c>
    </row>
    <row r="317" spans="1:10" ht="18" customHeight="1">
      <c r="A317" s="3" t="s">
        <v>182</v>
      </c>
      <c r="D317" s="1">
        <v>159978</v>
      </c>
      <c r="E317" s="1"/>
      <c r="F317" s="1">
        <v>251927</v>
      </c>
      <c r="G317" s="1"/>
      <c r="H317" s="1">
        <v>157860</v>
      </c>
      <c r="I317" s="1"/>
      <c r="J317" s="1">
        <v>251927</v>
      </c>
    </row>
    <row r="318" spans="1:10" ht="18" customHeight="1">
      <c r="A318" s="3" t="s">
        <v>183</v>
      </c>
      <c r="D318" s="26">
        <v>0</v>
      </c>
      <c r="E318" s="25"/>
      <c r="F318" s="25">
        <v>15000</v>
      </c>
      <c r="G318" s="25"/>
      <c r="H318" s="25">
        <v>0</v>
      </c>
      <c r="I318" s="25"/>
      <c r="J318" s="25">
        <v>15000</v>
      </c>
    </row>
    <row r="319" spans="1:10" ht="18" customHeight="1">
      <c r="A319" s="3" t="s">
        <v>184</v>
      </c>
      <c r="D319" s="1">
        <v>718</v>
      </c>
      <c r="E319" s="1"/>
      <c r="F319" s="1">
        <v>6500</v>
      </c>
      <c r="G319" s="1"/>
      <c r="H319" s="1">
        <v>10026</v>
      </c>
      <c r="I319" s="1"/>
      <c r="J319" s="1">
        <v>25000</v>
      </c>
    </row>
    <row r="320" spans="1:10" ht="18" customHeight="1">
      <c r="A320" s="3" t="s">
        <v>185</v>
      </c>
      <c r="D320" s="25">
        <v>42202</v>
      </c>
      <c r="E320" s="1"/>
      <c r="F320" s="1">
        <v>36500</v>
      </c>
      <c r="G320" s="1"/>
      <c r="H320" s="25">
        <v>74019</v>
      </c>
      <c r="I320" s="1"/>
      <c r="J320" s="1">
        <v>35500</v>
      </c>
    </row>
    <row r="321" spans="1:10" ht="18" customHeight="1">
      <c r="A321" s="3" t="s">
        <v>241</v>
      </c>
      <c r="D321" s="23">
        <v>818</v>
      </c>
      <c r="E321" s="1"/>
      <c r="F321" s="23">
        <v>20000</v>
      </c>
      <c r="G321" s="6"/>
      <c r="H321" s="28">
        <v>22961</v>
      </c>
      <c r="I321" s="1"/>
      <c r="J321" s="23">
        <v>20000</v>
      </c>
    </row>
    <row r="322" spans="1:10" ht="18" customHeight="1">
      <c r="A322" s="3" t="s">
        <v>272</v>
      </c>
      <c r="D322" s="20">
        <f>SUM(D272:D321)</f>
        <v>17092744</v>
      </c>
      <c r="E322" s="22"/>
      <c r="F322" s="20">
        <f>SUM(F272:F321)</f>
        <v>27407250</v>
      </c>
      <c r="G322" s="8"/>
      <c r="H322" s="20">
        <f>SUM(H272:H321)</f>
        <v>14315737</v>
      </c>
      <c r="I322" s="22"/>
      <c r="J322" s="20">
        <f>SUM(J272:J321)</f>
        <v>28719291</v>
      </c>
    </row>
    <row r="323" spans="1:10" ht="18" customHeight="1">
      <c r="A323" s="3"/>
      <c r="D323" s="1"/>
      <c r="E323" s="1"/>
      <c r="F323" s="17"/>
      <c r="G323" s="1"/>
      <c r="H323" s="1"/>
      <c r="I323" s="1"/>
      <c r="J323" s="1"/>
    </row>
    <row r="324" spans="1:10" ht="18" customHeight="1">
      <c r="A324" s="7" t="s">
        <v>433</v>
      </c>
      <c r="D324" s="17"/>
      <c r="E324" s="11"/>
      <c r="F324" s="17"/>
      <c r="G324" s="17"/>
      <c r="H324" s="56"/>
      <c r="J324" s="17"/>
    </row>
    <row r="325" spans="1:11" ht="18" customHeight="1">
      <c r="A325" s="3" t="s">
        <v>40</v>
      </c>
      <c r="D325" s="22">
        <v>39504</v>
      </c>
      <c r="E325" s="22"/>
      <c r="F325" s="22">
        <v>0</v>
      </c>
      <c r="G325" s="22"/>
      <c r="H325" s="22">
        <v>32269</v>
      </c>
      <c r="I325" s="22"/>
      <c r="J325" s="22">
        <v>0</v>
      </c>
      <c r="K325" s="25"/>
    </row>
    <row r="326" spans="1:11" ht="18" customHeight="1">
      <c r="A326" s="3" t="s">
        <v>275</v>
      </c>
      <c r="D326" s="25">
        <v>0</v>
      </c>
      <c r="E326" s="25"/>
      <c r="F326" s="25">
        <v>0</v>
      </c>
      <c r="G326" s="25"/>
      <c r="H326" s="25">
        <v>0</v>
      </c>
      <c r="I326" s="22"/>
      <c r="J326" s="25">
        <v>0</v>
      </c>
      <c r="K326" s="25"/>
    </row>
    <row r="327" spans="1:11" ht="18" customHeight="1">
      <c r="A327" s="3" t="s">
        <v>292</v>
      </c>
      <c r="D327" s="1">
        <v>511789</v>
      </c>
      <c r="E327" s="22"/>
      <c r="F327" s="27">
        <v>0</v>
      </c>
      <c r="G327" s="22"/>
      <c r="H327" s="1">
        <v>505902</v>
      </c>
      <c r="I327" s="22"/>
      <c r="J327" s="27">
        <v>0</v>
      </c>
      <c r="K327" s="25"/>
    </row>
    <row r="328" spans="1:11" ht="18" customHeight="1">
      <c r="A328" s="3" t="s">
        <v>393</v>
      </c>
      <c r="D328" s="24">
        <v>0</v>
      </c>
      <c r="E328" s="22"/>
      <c r="F328" s="27">
        <v>0</v>
      </c>
      <c r="G328" s="22"/>
      <c r="H328" s="27">
        <v>0</v>
      </c>
      <c r="I328" s="22"/>
      <c r="J328" s="27">
        <v>0</v>
      </c>
      <c r="K328" s="25"/>
    </row>
    <row r="329" spans="1:11" ht="18" customHeight="1">
      <c r="A329" s="3" t="s">
        <v>293</v>
      </c>
      <c r="D329" s="25">
        <v>25881</v>
      </c>
      <c r="E329" s="22"/>
      <c r="F329" s="27">
        <v>0</v>
      </c>
      <c r="G329" s="22"/>
      <c r="H329" s="24">
        <v>6071</v>
      </c>
      <c r="I329" s="22"/>
      <c r="J329" s="27">
        <v>0</v>
      </c>
      <c r="K329" s="25"/>
    </row>
    <row r="330" spans="1:11" ht="18" customHeight="1">
      <c r="A330" s="3" t="s">
        <v>294</v>
      </c>
      <c r="D330" s="25">
        <v>105000</v>
      </c>
      <c r="E330" s="22"/>
      <c r="F330" s="27">
        <v>0</v>
      </c>
      <c r="G330" s="22"/>
      <c r="H330" s="25">
        <v>0</v>
      </c>
      <c r="I330" s="22"/>
      <c r="J330" s="27">
        <v>0</v>
      </c>
      <c r="K330" s="25"/>
    </row>
    <row r="331" spans="1:11" ht="18" customHeight="1">
      <c r="A331" s="3" t="s">
        <v>295</v>
      </c>
      <c r="D331" s="25">
        <v>0</v>
      </c>
      <c r="E331" s="22"/>
      <c r="F331" s="24">
        <v>0</v>
      </c>
      <c r="G331" s="25"/>
      <c r="H331" s="25">
        <v>93897</v>
      </c>
      <c r="I331" s="25"/>
      <c r="J331" s="24">
        <v>0</v>
      </c>
      <c r="K331" s="25"/>
    </row>
    <row r="332" spans="1:11" ht="18" customHeight="1">
      <c r="A332" s="3" t="s">
        <v>371</v>
      </c>
      <c r="D332" s="25">
        <v>80689</v>
      </c>
      <c r="E332" s="22"/>
      <c r="F332" s="24">
        <v>0</v>
      </c>
      <c r="G332" s="25"/>
      <c r="H332" s="25">
        <v>66147</v>
      </c>
      <c r="I332" s="25"/>
      <c r="J332" s="24">
        <v>0</v>
      </c>
      <c r="K332" s="25"/>
    </row>
    <row r="333" spans="1:11" ht="18" customHeight="1">
      <c r="A333" s="3" t="s">
        <v>375</v>
      </c>
      <c r="D333" s="25">
        <v>59269</v>
      </c>
      <c r="E333" s="22"/>
      <c r="F333" s="24">
        <v>0</v>
      </c>
      <c r="G333" s="25"/>
      <c r="H333" s="25">
        <v>49591</v>
      </c>
      <c r="I333" s="25"/>
      <c r="J333" s="24">
        <v>0</v>
      </c>
      <c r="K333" s="25"/>
    </row>
    <row r="334" spans="1:11" ht="18" customHeight="1">
      <c r="A334" s="3" t="s">
        <v>296</v>
      </c>
      <c r="D334" s="25">
        <v>61188</v>
      </c>
      <c r="E334" s="25"/>
      <c r="F334" s="24">
        <v>0</v>
      </c>
      <c r="G334" s="25"/>
      <c r="H334" s="25">
        <v>0</v>
      </c>
      <c r="I334" s="25"/>
      <c r="J334" s="24">
        <v>0</v>
      </c>
      <c r="K334" s="25"/>
    </row>
    <row r="335" spans="1:11" ht="18" customHeight="1">
      <c r="A335" s="3" t="s">
        <v>297</v>
      </c>
      <c r="D335" s="1">
        <v>135822</v>
      </c>
      <c r="E335" s="22"/>
      <c r="F335" s="27">
        <v>0</v>
      </c>
      <c r="G335" s="22"/>
      <c r="H335" s="25">
        <v>0</v>
      </c>
      <c r="I335" s="22"/>
      <c r="J335" s="27">
        <v>0</v>
      </c>
      <c r="K335" s="25"/>
    </row>
    <row r="336" spans="1:11" ht="18" customHeight="1">
      <c r="A336" s="3" t="s">
        <v>298</v>
      </c>
      <c r="D336" s="1">
        <v>557586</v>
      </c>
      <c r="E336" s="22"/>
      <c r="F336" s="27">
        <v>0</v>
      </c>
      <c r="G336" s="22"/>
      <c r="H336" s="1">
        <v>346533</v>
      </c>
      <c r="I336" s="22"/>
      <c r="J336" s="27">
        <v>0</v>
      </c>
      <c r="K336" s="25"/>
    </row>
    <row r="337" spans="1:11" ht="18" customHeight="1">
      <c r="A337" s="3" t="s">
        <v>299</v>
      </c>
      <c r="D337" s="1">
        <v>7320</v>
      </c>
      <c r="E337" s="22"/>
      <c r="F337" s="27">
        <v>0</v>
      </c>
      <c r="G337" s="26"/>
      <c r="H337" s="25">
        <v>39957</v>
      </c>
      <c r="I337" s="22"/>
      <c r="J337" s="27">
        <v>0</v>
      </c>
      <c r="K337" s="25"/>
    </row>
    <row r="338" spans="1:11" ht="18" customHeight="1">
      <c r="A338" s="3" t="s">
        <v>300</v>
      </c>
      <c r="D338" s="1">
        <v>61513</v>
      </c>
      <c r="E338" s="22"/>
      <c r="F338" s="27">
        <v>0</v>
      </c>
      <c r="G338" s="22"/>
      <c r="H338" s="1">
        <v>51268</v>
      </c>
      <c r="I338" s="22"/>
      <c r="J338" s="27">
        <v>0</v>
      </c>
      <c r="K338" s="25"/>
    </row>
    <row r="339" spans="1:11" ht="18" customHeight="1">
      <c r="A339" s="3" t="s">
        <v>301</v>
      </c>
      <c r="D339" s="1">
        <v>394321</v>
      </c>
      <c r="E339" s="22"/>
      <c r="F339" s="27">
        <v>0</v>
      </c>
      <c r="G339" s="22"/>
      <c r="H339" s="1">
        <v>396400</v>
      </c>
      <c r="I339" s="22"/>
      <c r="J339" s="27">
        <v>0</v>
      </c>
      <c r="K339" s="25"/>
    </row>
    <row r="340" spans="1:11" ht="18" customHeight="1">
      <c r="A340" s="3" t="s">
        <v>401</v>
      </c>
      <c r="D340" s="24">
        <v>13000</v>
      </c>
      <c r="E340" s="22"/>
      <c r="F340" s="27">
        <v>0</v>
      </c>
      <c r="G340" s="22"/>
      <c r="H340" s="27">
        <v>0</v>
      </c>
      <c r="I340" s="22"/>
      <c r="J340" s="27">
        <v>0</v>
      </c>
      <c r="K340" s="25"/>
    </row>
    <row r="341" spans="1:11" ht="18" customHeight="1">
      <c r="A341" s="81" t="s">
        <v>0</v>
      </c>
      <c r="B341" s="81"/>
      <c r="C341" s="81"/>
      <c r="D341" s="81"/>
      <c r="E341" s="81"/>
      <c r="F341" s="81"/>
      <c r="G341" s="81"/>
      <c r="H341" s="81"/>
      <c r="I341" s="81"/>
      <c r="J341" s="81"/>
      <c r="K341" s="16"/>
    </row>
    <row r="342" spans="1:11" ht="18" customHeight="1">
      <c r="A342" s="80" t="s">
        <v>429</v>
      </c>
      <c r="B342" s="80"/>
      <c r="C342" s="80"/>
      <c r="D342" s="80"/>
      <c r="E342" s="80"/>
      <c r="F342" s="80"/>
      <c r="G342" s="80"/>
      <c r="H342" s="80"/>
      <c r="I342" s="80"/>
      <c r="J342" s="80"/>
      <c r="K342" s="16"/>
    </row>
    <row r="343" spans="1:11" ht="18" customHeight="1">
      <c r="A343" s="80" t="s">
        <v>416</v>
      </c>
      <c r="B343" s="80"/>
      <c r="C343" s="80"/>
      <c r="D343" s="80"/>
      <c r="E343" s="80"/>
      <c r="F343" s="80"/>
      <c r="G343" s="80"/>
      <c r="H343" s="80"/>
      <c r="I343" s="80"/>
      <c r="J343" s="80"/>
      <c r="K343" s="16"/>
    </row>
    <row r="344" spans="1:11" ht="18" customHeight="1">
      <c r="A344" s="80" t="s">
        <v>150</v>
      </c>
      <c r="B344" s="80"/>
      <c r="C344" s="80"/>
      <c r="D344" s="80"/>
      <c r="E344" s="80"/>
      <c r="F344" s="80"/>
      <c r="G344" s="80"/>
      <c r="H344" s="80"/>
      <c r="I344" s="80"/>
      <c r="J344" s="80"/>
      <c r="K344" s="16"/>
    </row>
    <row r="345" spans="1:10" ht="18" customHeight="1">
      <c r="A345" s="7"/>
      <c r="C345" s="2"/>
      <c r="D345" s="2" t="s">
        <v>204</v>
      </c>
      <c r="F345" s="2" t="s">
        <v>52</v>
      </c>
      <c r="G345" s="2"/>
      <c r="H345" s="2" t="s">
        <v>204</v>
      </c>
      <c r="I345" s="4"/>
      <c r="J345" s="2" t="s">
        <v>53</v>
      </c>
    </row>
    <row r="346" spans="1:10" ht="18" customHeight="1">
      <c r="A346" s="7" t="s">
        <v>435</v>
      </c>
      <c r="C346" s="2"/>
      <c r="D346" s="14" t="s">
        <v>368</v>
      </c>
      <c r="F346" s="14" t="s">
        <v>383</v>
      </c>
      <c r="G346" s="17"/>
      <c r="H346" s="18" t="s">
        <v>418</v>
      </c>
      <c r="I346" s="4"/>
      <c r="J346" s="14" t="s">
        <v>419</v>
      </c>
    </row>
    <row r="347" spans="1:11" ht="18" customHeight="1">
      <c r="A347" s="3" t="s">
        <v>335</v>
      </c>
      <c r="D347" s="8">
        <v>46023</v>
      </c>
      <c r="E347" s="22"/>
      <c r="F347" s="22">
        <v>0</v>
      </c>
      <c r="G347" s="22"/>
      <c r="H347" s="8">
        <v>29621</v>
      </c>
      <c r="I347" s="22"/>
      <c r="J347" s="22">
        <v>0</v>
      </c>
      <c r="K347" s="25"/>
    </row>
    <row r="348" spans="1:11" ht="18" customHeight="1">
      <c r="A348" s="3" t="s">
        <v>42</v>
      </c>
      <c r="D348" s="25">
        <v>2443432</v>
      </c>
      <c r="E348" s="25"/>
      <c r="F348" s="25">
        <v>2881174</v>
      </c>
      <c r="G348" s="25"/>
      <c r="H348" s="25">
        <v>1700760</v>
      </c>
      <c r="I348" s="25"/>
      <c r="J348" s="25">
        <f>2985068+1755949</f>
        <v>4741017</v>
      </c>
      <c r="K348" s="22"/>
    </row>
    <row r="349" spans="1:11" ht="18" customHeight="1">
      <c r="A349" s="3" t="s">
        <v>143</v>
      </c>
      <c r="D349" s="25">
        <v>619882</v>
      </c>
      <c r="E349" s="25"/>
      <c r="F349" s="25">
        <v>643368</v>
      </c>
      <c r="G349" s="25"/>
      <c r="H349" s="25">
        <v>470553</v>
      </c>
      <c r="I349" s="25"/>
      <c r="J349" s="25">
        <f>643368</f>
        <v>643368</v>
      </c>
      <c r="K349" s="25"/>
    </row>
    <row r="350" spans="1:11" ht="18" customHeight="1">
      <c r="A350" s="3" t="s">
        <v>422</v>
      </c>
      <c r="D350" s="25">
        <v>0</v>
      </c>
      <c r="E350" s="25"/>
      <c r="F350" s="25">
        <v>0</v>
      </c>
      <c r="G350" s="25"/>
      <c r="H350" s="25">
        <v>0</v>
      </c>
      <c r="I350" s="25"/>
      <c r="J350" s="25">
        <v>903669</v>
      </c>
      <c r="K350" s="25"/>
    </row>
    <row r="351" spans="1:11" ht="18" customHeight="1">
      <c r="A351" s="3" t="s">
        <v>403</v>
      </c>
      <c r="D351" s="25">
        <v>219832</v>
      </c>
      <c r="E351" s="25"/>
      <c r="F351" s="25">
        <v>219972</v>
      </c>
      <c r="G351" s="25"/>
      <c r="H351" s="25">
        <v>166583</v>
      </c>
      <c r="I351" s="25"/>
      <c r="J351" s="25">
        <v>226116</v>
      </c>
      <c r="K351" s="25"/>
    </row>
    <row r="352" spans="1:11" ht="18" customHeight="1">
      <c r="A352" s="3" t="s">
        <v>404</v>
      </c>
      <c r="D352" s="25">
        <v>0</v>
      </c>
      <c r="E352" s="25"/>
      <c r="F352" s="25">
        <v>54446</v>
      </c>
      <c r="G352" s="25"/>
      <c r="H352" s="25">
        <v>15841</v>
      </c>
      <c r="I352" s="25"/>
      <c r="J352" s="25">
        <v>53610</v>
      </c>
      <c r="K352" s="25"/>
    </row>
    <row r="353" spans="1:11" ht="18" customHeight="1">
      <c r="A353" s="3" t="s">
        <v>286</v>
      </c>
      <c r="D353" s="25">
        <v>55383</v>
      </c>
      <c r="E353" s="25"/>
      <c r="F353" s="25">
        <v>95000</v>
      </c>
      <c r="G353" s="25"/>
      <c r="H353" s="25">
        <v>83100</v>
      </c>
      <c r="I353" s="25"/>
      <c r="J353" s="25">
        <v>95000</v>
      </c>
      <c r="K353" s="25"/>
    </row>
    <row r="354" spans="1:11" ht="18" customHeight="1">
      <c r="A354" s="4" t="s">
        <v>217</v>
      </c>
      <c r="D354" s="16">
        <v>57410</v>
      </c>
      <c r="E354" s="16"/>
      <c r="F354" s="16">
        <v>94234</v>
      </c>
      <c r="G354" s="16"/>
      <c r="H354" s="16">
        <v>23816</v>
      </c>
      <c r="I354" s="16"/>
      <c r="J354" s="16">
        <v>161010</v>
      </c>
      <c r="K354" s="6"/>
    </row>
    <row r="355" spans="1:11" ht="18" customHeight="1">
      <c r="A355" s="4" t="s">
        <v>423</v>
      </c>
      <c r="D355" s="16">
        <v>0</v>
      </c>
      <c r="E355" s="16"/>
      <c r="F355" s="16">
        <v>0</v>
      </c>
      <c r="G355" s="16"/>
      <c r="H355" s="16">
        <v>0</v>
      </c>
      <c r="I355" s="16"/>
      <c r="J355" s="16">
        <v>584427</v>
      </c>
      <c r="K355" s="6"/>
    </row>
    <row r="356" spans="1:11" ht="18" customHeight="1">
      <c r="A356" s="3" t="s">
        <v>41</v>
      </c>
      <c r="D356" s="25">
        <v>866713</v>
      </c>
      <c r="E356" s="25"/>
      <c r="F356" s="25">
        <v>852920</v>
      </c>
      <c r="G356" s="25"/>
      <c r="H356" s="25">
        <v>1265343</v>
      </c>
      <c r="I356" s="25"/>
      <c r="J356" s="25">
        <v>959874</v>
      </c>
      <c r="K356" s="25"/>
    </row>
    <row r="357" spans="1:11" ht="18" customHeight="1">
      <c r="A357" s="3" t="s">
        <v>351</v>
      </c>
      <c r="D357" s="25">
        <v>201891</v>
      </c>
      <c r="E357" s="25"/>
      <c r="F357" s="25">
        <v>0</v>
      </c>
      <c r="G357" s="25"/>
      <c r="H357" s="25">
        <v>92940</v>
      </c>
      <c r="I357" s="25"/>
      <c r="J357" s="25">
        <v>0</v>
      </c>
      <c r="K357" s="25"/>
    </row>
    <row r="358" spans="1:11" ht="18" customHeight="1">
      <c r="A358" s="3" t="s">
        <v>376</v>
      </c>
      <c r="D358" s="25">
        <v>204608</v>
      </c>
      <c r="E358" s="25"/>
      <c r="F358" s="25">
        <v>277307</v>
      </c>
      <c r="G358" s="25"/>
      <c r="H358" s="25">
        <v>132249</v>
      </c>
      <c r="I358" s="25"/>
      <c r="J358" s="25">
        <v>283943</v>
      </c>
      <c r="K358" s="25"/>
    </row>
    <row r="359" spans="1:11" ht="18" customHeight="1">
      <c r="A359" s="3" t="s">
        <v>406</v>
      </c>
      <c r="D359" s="25">
        <v>193142</v>
      </c>
      <c r="E359" s="25"/>
      <c r="F359" s="25">
        <v>269415</v>
      </c>
      <c r="G359" s="25"/>
      <c r="H359" s="25">
        <v>153022</v>
      </c>
      <c r="I359" s="25"/>
      <c r="J359" s="25">
        <v>389722</v>
      </c>
      <c r="K359" s="25"/>
    </row>
    <row r="360" spans="1:11" ht="18" customHeight="1">
      <c r="A360" s="3" t="s">
        <v>194</v>
      </c>
      <c r="D360" s="25">
        <v>616693</v>
      </c>
      <c r="E360" s="25"/>
      <c r="F360" s="25">
        <v>518476</v>
      </c>
      <c r="G360" s="25"/>
      <c r="H360" s="25">
        <v>524746</v>
      </c>
      <c r="I360" s="25"/>
      <c r="J360" s="25">
        <v>464908</v>
      </c>
      <c r="K360" s="25"/>
    </row>
    <row r="361" spans="1:11" ht="18" customHeight="1">
      <c r="A361" s="3" t="s">
        <v>189</v>
      </c>
      <c r="D361" s="25">
        <v>109740</v>
      </c>
      <c r="E361" s="25"/>
      <c r="F361" s="24">
        <v>192357</v>
      </c>
      <c r="G361" s="25"/>
      <c r="H361" s="25">
        <v>144034</v>
      </c>
      <c r="I361" s="25"/>
      <c r="J361" s="24">
        <v>200456</v>
      </c>
      <c r="K361" s="25"/>
    </row>
    <row r="362" spans="1:11" ht="18" customHeight="1">
      <c r="A362" s="3" t="s">
        <v>402</v>
      </c>
      <c r="D362" s="24">
        <v>2986153</v>
      </c>
      <c r="E362" s="25"/>
      <c r="F362" s="25">
        <v>1011919</v>
      </c>
      <c r="G362" s="25"/>
      <c r="H362" s="25">
        <v>3138590</v>
      </c>
      <c r="I362" s="25"/>
      <c r="J362" s="25">
        <v>1011919</v>
      </c>
      <c r="K362" s="25"/>
    </row>
    <row r="363" spans="1:11" ht="18" customHeight="1">
      <c r="A363" s="3" t="s">
        <v>347</v>
      </c>
      <c r="D363" s="24">
        <v>1479719</v>
      </c>
      <c r="E363" s="25"/>
      <c r="F363" s="25">
        <v>1654271</v>
      </c>
      <c r="G363" s="25"/>
      <c r="H363" s="25">
        <v>704078</v>
      </c>
      <c r="I363" s="25"/>
      <c r="J363" s="25">
        <v>1654271</v>
      </c>
      <c r="K363" s="25"/>
    </row>
    <row r="364" spans="1:11" ht="18" customHeight="1">
      <c r="A364" s="3" t="s">
        <v>428</v>
      </c>
      <c r="D364" s="24">
        <v>0</v>
      </c>
      <c r="E364" s="25"/>
      <c r="F364" s="25">
        <v>0</v>
      </c>
      <c r="G364" s="25"/>
      <c r="H364" s="25">
        <v>114688</v>
      </c>
      <c r="I364" s="25"/>
      <c r="J364" s="25">
        <v>812929</v>
      </c>
      <c r="K364" s="25"/>
    </row>
    <row r="365" spans="1:11" ht="18" customHeight="1">
      <c r="A365" s="3" t="s">
        <v>198</v>
      </c>
      <c r="D365" s="25">
        <v>152269</v>
      </c>
      <c r="E365" s="25"/>
      <c r="F365" s="25">
        <v>0</v>
      </c>
      <c r="G365" s="25"/>
      <c r="H365" s="25">
        <v>127389</v>
      </c>
      <c r="I365" s="25"/>
      <c r="J365" s="25">
        <v>0</v>
      </c>
      <c r="K365" s="25"/>
    </row>
    <row r="366" spans="1:11" ht="18" customHeight="1">
      <c r="A366" s="3" t="s">
        <v>278</v>
      </c>
      <c r="D366" s="24">
        <v>809</v>
      </c>
      <c r="E366" s="25"/>
      <c r="F366" s="24">
        <v>0</v>
      </c>
      <c r="G366" s="24"/>
      <c r="H366" s="24">
        <v>0</v>
      </c>
      <c r="I366" s="25"/>
      <c r="J366" s="24">
        <v>0</v>
      </c>
      <c r="K366" s="25"/>
    </row>
    <row r="367" spans="1:11" ht="18" customHeight="1">
      <c r="A367" s="3" t="s">
        <v>303</v>
      </c>
      <c r="D367" s="24">
        <v>282795</v>
      </c>
      <c r="E367" s="25"/>
      <c r="F367" s="24">
        <v>0</v>
      </c>
      <c r="G367" s="24"/>
      <c r="H367" s="24">
        <v>94694</v>
      </c>
      <c r="I367" s="25"/>
      <c r="J367" s="24">
        <v>0</v>
      </c>
      <c r="K367" s="25"/>
    </row>
    <row r="368" spans="1:11" ht="18" customHeight="1">
      <c r="A368" s="3" t="s">
        <v>350</v>
      </c>
      <c r="D368" s="24">
        <v>0</v>
      </c>
      <c r="E368" s="25"/>
      <c r="F368" s="24">
        <v>0</v>
      </c>
      <c r="G368" s="24"/>
      <c r="H368" s="24">
        <v>0</v>
      </c>
      <c r="I368" s="25"/>
      <c r="J368" s="24">
        <v>0</v>
      </c>
      <c r="K368" s="25"/>
    </row>
    <row r="369" spans="1:12" ht="18" customHeight="1">
      <c r="A369" s="3" t="s">
        <v>302</v>
      </c>
      <c r="D369" s="24">
        <v>450220</v>
      </c>
      <c r="E369" s="25"/>
      <c r="F369" s="24">
        <v>0</v>
      </c>
      <c r="G369" s="24"/>
      <c r="H369" s="24">
        <f>38000+38790+1799+47554+2</f>
        <v>126145</v>
      </c>
      <c r="I369" s="25"/>
      <c r="J369" s="24">
        <v>0</v>
      </c>
      <c r="K369" s="25"/>
      <c r="L369" s="64"/>
    </row>
    <row r="370" spans="1:12" s="66" customFormat="1" ht="18" customHeight="1">
      <c r="A370" s="4" t="s">
        <v>159</v>
      </c>
      <c r="B370" s="4"/>
      <c r="C370" s="4"/>
      <c r="D370" s="25">
        <v>4</v>
      </c>
      <c r="E370" s="16"/>
      <c r="F370" s="25">
        <v>57663</v>
      </c>
      <c r="G370" s="25"/>
      <c r="H370" s="25">
        <v>4258</v>
      </c>
      <c r="I370" s="16"/>
      <c r="J370" s="25">
        <v>61163</v>
      </c>
      <c r="K370" s="68"/>
      <c r="L370" s="65"/>
    </row>
    <row r="371" spans="1:11" s="66" customFormat="1" ht="18" customHeight="1">
      <c r="A371" s="4" t="s">
        <v>348</v>
      </c>
      <c r="B371" s="4"/>
      <c r="C371" s="4"/>
      <c r="D371" s="25">
        <v>40319</v>
      </c>
      <c r="E371" s="16"/>
      <c r="F371" s="25">
        <v>20123</v>
      </c>
      <c r="G371" s="25"/>
      <c r="H371" s="25">
        <v>27215</v>
      </c>
      <c r="I371" s="16"/>
      <c r="J371" s="25">
        <v>6548</v>
      </c>
      <c r="K371" s="68"/>
    </row>
    <row r="372" spans="1:11" s="66" customFormat="1" ht="18" customHeight="1">
      <c r="A372" s="4" t="s">
        <v>424</v>
      </c>
      <c r="B372" s="4"/>
      <c r="C372" s="4"/>
      <c r="D372" s="25">
        <v>0</v>
      </c>
      <c r="E372" s="16"/>
      <c r="F372" s="25">
        <v>0</v>
      </c>
      <c r="G372" s="25"/>
      <c r="H372" s="25">
        <v>93457</v>
      </c>
      <c r="I372" s="16"/>
      <c r="J372" s="25">
        <v>231976</v>
      </c>
      <c r="K372" s="68"/>
    </row>
    <row r="373" spans="1:11" s="66" customFormat="1" ht="18" customHeight="1">
      <c r="A373" s="4" t="s">
        <v>425</v>
      </c>
      <c r="B373" s="4"/>
      <c r="C373" s="4"/>
      <c r="D373" s="25">
        <v>0</v>
      </c>
      <c r="E373" s="16"/>
      <c r="F373" s="25">
        <v>0</v>
      </c>
      <c r="G373" s="25"/>
      <c r="H373" s="25">
        <v>11514</v>
      </c>
      <c r="I373" s="16"/>
      <c r="J373" s="25">
        <v>62186</v>
      </c>
      <c r="K373" s="68"/>
    </row>
    <row r="374" spans="1:11" s="66" customFormat="1" ht="18" customHeight="1">
      <c r="A374" s="3" t="s">
        <v>344</v>
      </c>
      <c r="B374" s="4"/>
      <c r="C374" s="4"/>
      <c r="D374" s="24">
        <v>13336</v>
      </c>
      <c r="E374" s="25"/>
      <c r="F374" s="24">
        <v>14282</v>
      </c>
      <c r="G374" s="24"/>
      <c r="H374" s="24">
        <v>8563</v>
      </c>
      <c r="I374" s="25"/>
      <c r="J374" s="24">
        <v>0</v>
      </c>
      <c r="K374" s="68"/>
    </row>
    <row r="375" spans="1:11" s="66" customFormat="1" ht="18" customHeight="1">
      <c r="A375" s="3" t="s">
        <v>345</v>
      </c>
      <c r="B375" s="4"/>
      <c r="C375" s="4"/>
      <c r="D375" s="25">
        <v>276189</v>
      </c>
      <c r="E375" s="25"/>
      <c r="F375" s="25">
        <v>415210</v>
      </c>
      <c r="G375" s="25"/>
      <c r="H375" s="25">
        <v>214813</v>
      </c>
      <c r="I375" s="25"/>
      <c r="J375" s="25">
        <f>149378+276837</f>
        <v>426215</v>
      </c>
      <c r="K375" s="68"/>
    </row>
    <row r="376" spans="1:11" s="66" customFormat="1" ht="18" customHeight="1">
      <c r="A376" s="3" t="s">
        <v>343</v>
      </c>
      <c r="B376" s="4"/>
      <c r="C376" s="4"/>
      <c r="D376" s="25">
        <v>1452089</v>
      </c>
      <c r="E376" s="25"/>
      <c r="F376" s="25">
        <v>1126145</v>
      </c>
      <c r="G376" s="25"/>
      <c r="H376" s="25">
        <v>749223</v>
      </c>
      <c r="I376" s="25"/>
      <c r="J376" s="25">
        <f>322827+1222599</f>
        <v>1545426</v>
      </c>
      <c r="K376" s="76"/>
    </row>
    <row r="377" spans="1:10" ht="18" customHeight="1">
      <c r="A377" s="4" t="s">
        <v>346</v>
      </c>
      <c r="C377" s="2"/>
      <c r="D377" s="25">
        <v>509243</v>
      </c>
      <c r="E377" s="25"/>
      <c r="F377" s="25">
        <v>489109</v>
      </c>
      <c r="G377" s="25"/>
      <c r="H377" s="25">
        <v>154395</v>
      </c>
      <c r="I377" s="25"/>
      <c r="J377" s="25">
        <f>12439+463907</f>
        <v>476346</v>
      </c>
    </row>
    <row r="378" spans="1:10" ht="18" customHeight="1">
      <c r="A378" s="4" t="s">
        <v>427</v>
      </c>
      <c r="C378" s="2"/>
      <c r="D378" s="25">
        <v>0</v>
      </c>
      <c r="E378" s="25"/>
      <c r="F378" s="25">
        <v>0</v>
      </c>
      <c r="G378" s="25"/>
      <c r="H378" s="25">
        <v>196332</v>
      </c>
      <c r="I378" s="25"/>
      <c r="J378" s="25">
        <v>733792</v>
      </c>
    </row>
    <row r="379" spans="1:10" ht="18" customHeight="1">
      <c r="A379" s="4" t="s">
        <v>426</v>
      </c>
      <c r="C379" s="2"/>
      <c r="D379" s="25">
        <v>0</v>
      </c>
      <c r="E379" s="25"/>
      <c r="F379" s="25">
        <v>0</v>
      </c>
      <c r="G379" s="25"/>
      <c r="H379" s="25">
        <v>0</v>
      </c>
      <c r="I379" s="25"/>
      <c r="J379" s="25">
        <v>181717</v>
      </c>
    </row>
    <row r="380" spans="1:11" s="66" customFormat="1" ht="18" customHeight="1">
      <c r="A380" s="4" t="s">
        <v>340</v>
      </c>
      <c r="B380" s="4"/>
      <c r="C380" s="4"/>
      <c r="D380" s="25">
        <v>142859</v>
      </c>
      <c r="E380" s="25"/>
      <c r="F380" s="25">
        <v>49850</v>
      </c>
      <c r="G380" s="25"/>
      <c r="H380" s="25">
        <v>5571</v>
      </c>
      <c r="I380" s="25"/>
      <c r="J380" s="25">
        <v>0</v>
      </c>
      <c r="K380" s="68"/>
    </row>
    <row r="381" spans="1:11" s="66" customFormat="1" ht="18" customHeight="1">
      <c r="A381" s="4" t="s">
        <v>341</v>
      </c>
      <c r="B381" s="4"/>
      <c r="C381" s="4"/>
      <c r="D381" s="28">
        <v>689686</v>
      </c>
      <c r="E381" s="25"/>
      <c r="F381" s="28">
        <v>767819</v>
      </c>
      <c r="G381" s="25"/>
      <c r="H381" s="28">
        <v>567645</v>
      </c>
      <c r="I381" s="25"/>
      <c r="J381" s="28">
        <f>100133+805047</f>
        <v>905180</v>
      </c>
      <c r="K381" s="68"/>
    </row>
    <row r="382" spans="1:11" ht="18" customHeight="1">
      <c r="A382" s="3" t="s">
        <v>82</v>
      </c>
      <c r="D382" s="29">
        <f>SUM(D325:D381)</f>
        <v>16163321</v>
      </c>
      <c r="E382" s="25"/>
      <c r="F382" s="29">
        <f>SUM(F325:F381)</f>
        <v>11705060</v>
      </c>
      <c r="G382" s="24"/>
      <c r="H382" s="29">
        <f>SUM(H325:H381)</f>
        <v>12729213</v>
      </c>
      <c r="I382" s="25"/>
      <c r="J382" s="29">
        <f>SUM(J325:J381)</f>
        <v>17816788</v>
      </c>
      <c r="K382" s="25"/>
    </row>
    <row r="383" spans="1:11" ht="18" customHeight="1" thickBot="1">
      <c r="A383" s="3" t="s">
        <v>43</v>
      </c>
      <c r="D383" s="21">
        <f>D382+D322+D269</f>
        <v>55335380</v>
      </c>
      <c r="E383" s="22"/>
      <c r="F383" s="21">
        <f>F382+F322+F269</f>
        <v>64912061</v>
      </c>
      <c r="G383" s="8"/>
      <c r="H383" s="21">
        <f>H382+H322+H269</f>
        <v>47271733</v>
      </c>
      <c r="I383" s="22"/>
      <c r="J383" s="21">
        <f>J382+J322+J269</f>
        <v>74641931</v>
      </c>
      <c r="K383" s="25"/>
    </row>
    <row r="384" spans="4:11" ht="18" customHeight="1" thickTop="1">
      <c r="D384" s="45"/>
      <c r="E384" s="1"/>
      <c r="F384" s="45"/>
      <c r="G384" s="45"/>
      <c r="H384" s="45"/>
      <c r="I384" s="1"/>
      <c r="J384" s="45"/>
      <c r="K384" s="16"/>
    </row>
    <row r="385" spans="1:10" ht="18" customHeight="1">
      <c r="A385" s="81" t="s">
        <v>0</v>
      </c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ht="18" customHeight="1">
      <c r="A386" s="80" t="s">
        <v>429</v>
      </c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1:10" ht="18" customHeight="1">
      <c r="A387" s="80" t="s">
        <v>416</v>
      </c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1:10" ht="18" customHeight="1">
      <c r="A388" s="80" t="s">
        <v>150</v>
      </c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1:10" ht="18" customHeight="1">
      <c r="A389" s="3"/>
      <c r="C389" s="2"/>
      <c r="D389" s="2" t="s">
        <v>204</v>
      </c>
      <c r="F389" s="2" t="s">
        <v>52</v>
      </c>
      <c r="G389" s="2"/>
      <c r="H389" s="2" t="s">
        <v>204</v>
      </c>
      <c r="I389" s="4"/>
      <c r="J389" s="2" t="s">
        <v>53</v>
      </c>
    </row>
    <row r="390" spans="1:10" ht="18" customHeight="1">
      <c r="A390" s="7" t="s">
        <v>448</v>
      </c>
      <c r="C390" s="2"/>
      <c r="D390" s="14" t="s">
        <v>368</v>
      </c>
      <c r="F390" s="14" t="s">
        <v>383</v>
      </c>
      <c r="G390" s="17"/>
      <c r="H390" s="18" t="s">
        <v>418</v>
      </c>
      <c r="I390" s="4"/>
      <c r="J390" s="14" t="s">
        <v>419</v>
      </c>
    </row>
    <row r="391" spans="1:11" ht="18" customHeight="1">
      <c r="A391" s="3" t="s">
        <v>385</v>
      </c>
      <c r="D391" s="8">
        <v>0</v>
      </c>
      <c r="E391" s="8"/>
      <c r="F391" s="8">
        <v>100000</v>
      </c>
      <c r="G391" s="8"/>
      <c r="H391" s="8">
        <v>1070</v>
      </c>
      <c r="I391" s="8"/>
      <c r="J391" s="8">
        <v>0</v>
      </c>
      <c r="K391" s="16"/>
    </row>
    <row r="392" spans="1:12" ht="18" customHeight="1">
      <c r="A392" s="3" t="s">
        <v>273</v>
      </c>
      <c r="D392" s="24">
        <v>4014</v>
      </c>
      <c r="E392" s="24"/>
      <c r="F392" s="24">
        <v>52400</v>
      </c>
      <c r="G392" s="24"/>
      <c r="H392" s="24">
        <v>1547</v>
      </c>
      <c r="I392" s="24"/>
      <c r="J392" s="24">
        <v>0</v>
      </c>
      <c r="L392" s="79"/>
    </row>
    <row r="393" spans="1:12" ht="18" customHeight="1">
      <c r="A393" s="3" t="s">
        <v>367</v>
      </c>
      <c r="D393" s="24">
        <v>0</v>
      </c>
      <c r="E393" s="16"/>
      <c r="F393" s="16">
        <v>0</v>
      </c>
      <c r="G393" s="16"/>
      <c r="H393" s="24">
        <v>0</v>
      </c>
      <c r="I393" s="16"/>
      <c r="J393" s="16">
        <v>0</v>
      </c>
      <c r="L393" s="79"/>
    </row>
    <row r="394" spans="1:12" ht="18" customHeight="1">
      <c r="A394" s="3" t="s">
        <v>357</v>
      </c>
      <c r="D394" s="24">
        <v>734</v>
      </c>
      <c r="E394" s="16"/>
      <c r="F394" s="16">
        <v>0</v>
      </c>
      <c r="G394" s="16"/>
      <c r="H394" s="24">
        <v>0</v>
      </c>
      <c r="I394" s="16"/>
      <c r="J394" s="16">
        <v>0</v>
      </c>
      <c r="L394" s="79"/>
    </row>
    <row r="395" spans="1:12" ht="18" customHeight="1">
      <c r="A395" s="3" t="s">
        <v>358</v>
      </c>
      <c r="D395" s="24">
        <v>1045</v>
      </c>
      <c r="E395" s="16"/>
      <c r="F395" s="16">
        <v>78000</v>
      </c>
      <c r="G395" s="16"/>
      <c r="H395" s="24">
        <v>629</v>
      </c>
      <c r="I395" s="16"/>
      <c r="J395" s="16">
        <v>0</v>
      </c>
      <c r="L395" s="79"/>
    </row>
    <row r="396" spans="1:12" ht="18" customHeight="1">
      <c r="A396" s="3" t="s">
        <v>195</v>
      </c>
      <c r="D396" s="16">
        <v>212360</v>
      </c>
      <c r="E396" s="16"/>
      <c r="F396" s="16">
        <v>546850</v>
      </c>
      <c r="G396" s="16"/>
      <c r="H396" s="16">
        <v>216994</v>
      </c>
      <c r="I396" s="16"/>
      <c r="J396" s="16">
        <v>20000</v>
      </c>
      <c r="L396" s="79"/>
    </row>
    <row r="397" spans="1:12" ht="18" customHeight="1">
      <c r="A397" s="3" t="s">
        <v>283</v>
      </c>
      <c r="D397" s="16">
        <v>0</v>
      </c>
      <c r="E397" s="24"/>
      <c r="F397" s="24">
        <v>187500</v>
      </c>
      <c r="G397" s="24"/>
      <c r="H397" s="24">
        <v>39383</v>
      </c>
      <c r="I397" s="24"/>
      <c r="J397" s="24">
        <v>0</v>
      </c>
      <c r="L397" s="79"/>
    </row>
    <row r="398" spans="1:10" ht="18" customHeight="1">
      <c r="A398" s="3" t="s">
        <v>386</v>
      </c>
      <c r="D398" s="24">
        <v>0</v>
      </c>
      <c r="E398" s="24"/>
      <c r="F398" s="24">
        <v>762500</v>
      </c>
      <c r="G398" s="24"/>
      <c r="H398" s="24">
        <v>0</v>
      </c>
      <c r="I398" s="24"/>
      <c r="J398" s="24">
        <v>0</v>
      </c>
    </row>
    <row r="399" spans="1:12" ht="18" customHeight="1">
      <c r="A399" s="3" t="s">
        <v>191</v>
      </c>
      <c r="D399" s="24">
        <v>114877</v>
      </c>
      <c r="E399" s="24"/>
      <c r="F399" s="24">
        <v>170000</v>
      </c>
      <c r="G399" s="24"/>
      <c r="H399" s="24">
        <v>52695</v>
      </c>
      <c r="I399" s="24"/>
      <c r="J399" s="24">
        <v>150000</v>
      </c>
      <c r="L399" s="79"/>
    </row>
    <row r="400" spans="1:12" ht="18" customHeight="1">
      <c r="A400" s="3" t="s">
        <v>359</v>
      </c>
      <c r="D400" s="24">
        <v>0</v>
      </c>
      <c r="E400" s="24"/>
      <c r="F400" s="24">
        <v>5000</v>
      </c>
      <c r="G400" s="24"/>
      <c r="H400" s="24">
        <v>0</v>
      </c>
      <c r="I400" s="24"/>
      <c r="J400" s="24">
        <v>0</v>
      </c>
      <c r="L400" s="79"/>
    </row>
    <row r="401" spans="1:12" ht="18" customHeight="1">
      <c r="A401" s="3" t="s">
        <v>306</v>
      </c>
      <c r="D401" s="24">
        <v>0</v>
      </c>
      <c r="E401" s="24"/>
      <c r="F401" s="24">
        <v>20000</v>
      </c>
      <c r="G401" s="24"/>
      <c r="H401" s="24">
        <v>17143</v>
      </c>
      <c r="I401" s="24"/>
      <c r="J401" s="24">
        <v>20000</v>
      </c>
      <c r="L401" s="79"/>
    </row>
    <row r="402" spans="1:10" ht="18" customHeight="1">
      <c r="A402" s="3" t="s">
        <v>308</v>
      </c>
      <c r="D402" s="24">
        <v>0</v>
      </c>
      <c r="E402" s="24"/>
      <c r="F402" s="24">
        <v>150000</v>
      </c>
      <c r="G402" s="24"/>
      <c r="H402" s="24">
        <v>131597</v>
      </c>
      <c r="I402" s="24"/>
      <c r="J402" s="24">
        <v>0</v>
      </c>
    </row>
    <row r="403" spans="1:10" ht="18" customHeight="1">
      <c r="A403" s="3" t="s">
        <v>387</v>
      </c>
      <c r="D403" s="24">
        <v>0</v>
      </c>
      <c r="E403" s="24"/>
      <c r="F403" s="24">
        <v>20000</v>
      </c>
      <c r="G403" s="24"/>
      <c r="H403" s="24">
        <v>0</v>
      </c>
      <c r="I403" s="24"/>
      <c r="J403" s="24">
        <v>0</v>
      </c>
    </row>
    <row r="404" spans="1:12" ht="18" customHeight="1">
      <c r="A404" s="3" t="s">
        <v>282</v>
      </c>
      <c r="D404" s="16">
        <v>5246945</v>
      </c>
      <c r="E404" s="16"/>
      <c r="F404" s="16">
        <v>3300000</v>
      </c>
      <c r="G404" s="16"/>
      <c r="H404" s="16">
        <v>2630216</v>
      </c>
      <c r="I404" s="16"/>
      <c r="J404" s="16">
        <v>1780000</v>
      </c>
      <c r="L404" s="79"/>
    </row>
    <row r="405" spans="1:12" ht="18" customHeight="1">
      <c r="A405" s="3" t="s">
        <v>373</v>
      </c>
      <c r="D405" s="24">
        <v>247843</v>
      </c>
      <c r="E405" s="16"/>
      <c r="F405" s="16">
        <v>504335</v>
      </c>
      <c r="G405" s="16"/>
      <c r="H405" s="16">
        <v>351970</v>
      </c>
      <c r="I405" s="16"/>
      <c r="J405" s="16">
        <v>166667</v>
      </c>
      <c r="L405" s="79"/>
    </row>
    <row r="406" spans="1:12" ht="18" customHeight="1">
      <c r="A406" s="3" t="s">
        <v>305</v>
      </c>
      <c r="D406" s="24">
        <v>0</v>
      </c>
      <c r="E406" s="24"/>
      <c r="F406" s="24">
        <v>46516</v>
      </c>
      <c r="G406" s="24"/>
      <c r="H406" s="24">
        <v>22400</v>
      </c>
      <c r="I406" s="24"/>
      <c r="J406" s="24">
        <v>8116</v>
      </c>
      <c r="L406" s="79"/>
    </row>
    <row r="407" spans="1:12" ht="18" customHeight="1">
      <c r="A407" s="3" t="s">
        <v>253</v>
      </c>
      <c r="D407" s="24">
        <v>3100</v>
      </c>
      <c r="E407" s="24"/>
      <c r="F407" s="24">
        <v>4000</v>
      </c>
      <c r="G407" s="24"/>
      <c r="H407" s="24">
        <v>0</v>
      </c>
      <c r="I407" s="24"/>
      <c r="J407" s="24">
        <v>4000</v>
      </c>
      <c r="L407" s="79"/>
    </row>
    <row r="408" spans="1:12" ht="18" customHeight="1">
      <c r="A408" s="3" t="s">
        <v>304</v>
      </c>
      <c r="D408" s="16">
        <v>0</v>
      </c>
      <c r="E408" s="16"/>
      <c r="F408" s="24">
        <v>32172</v>
      </c>
      <c r="G408" s="16"/>
      <c r="H408" s="16">
        <v>0</v>
      </c>
      <c r="I408" s="24"/>
      <c r="J408" s="24">
        <v>32172</v>
      </c>
      <c r="L408" s="79"/>
    </row>
    <row r="409" spans="1:12" ht="18" customHeight="1">
      <c r="A409" s="3" t="s">
        <v>372</v>
      </c>
      <c r="D409" s="24">
        <v>20674</v>
      </c>
      <c r="E409" s="24"/>
      <c r="F409" s="24">
        <v>165000</v>
      </c>
      <c r="G409" s="24"/>
      <c r="H409" s="24">
        <v>0</v>
      </c>
      <c r="I409" s="24"/>
      <c r="J409" s="24">
        <v>0</v>
      </c>
      <c r="L409" s="79"/>
    </row>
    <row r="410" spans="1:10" ht="18" customHeight="1">
      <c r="A410" s="3" t="s">
        <v>388</v>
      </c>
      <c r="D410" s="24">
        <v>0</v>
      </c>
      <c r="E410" s="24"/>
      <c r="F410" s="24">
        <v>200000</v>
      </c>
      <c r="G410" s="24"/>
      <c r="H410" s="24">
        <v>150458</v>
      </c>
      <c r="I410" s="24"/>
      <c r="J410" s="24">
        <v>0</v>
      </c>
    </row>
    <row r="411" spans="1:10" ht="18" customHeight="1">
      <c r="A411" s="3" t="s">
        <v>389</v>
      </c>
      <c r="D411" s="24">
        <v>0</v>
      </c>
      <c r="E411" s="24"/>
      <c r="F411" s="24">
        <v>85000</v>
      </c>
      <c r="G411" s="24"/>
      <c r="H411" s="24">
        <v>19336</v>
      </c>
      <c r="I411" s="24"/>
      <c r="J411" s="24">
        <v>0</v>
      </c>
    </row>
    <row r="412" spans="1:12" ht="18" customHeight="1">
      <c r="A412" s="3" t="s">
        <v>203</v>
      </c>
      <c r="D412" s="24">
        <v>9796</v>
      </c>
      <c r="E412" s="16"/>
      <c r="F412" s="24">
        <v>250000</v>
      </c>
      <c r="G412" s="39"/>
      <c r="H412" s="39">
        <v>30486</v>
      </c>
      <c r="I412" s="16"/>
      <c r="J412" s="24">
        <v>150000</v>
      </c>
      <c r="L412" s="79"/>
    </row>
    <row r="413" spans="1:12" ht="18" customHeight="1">
      <c r="A413" s="3" t="s">
        <v>374</v>
      </c>
      <c r="D413" s="42">
        <v>1375</v>
      </c>
      <c r="E413" s="16"/>
      <c r="F413" s="28">
        <v>0</v>
      </c>
      <c r="G413" s="39"/>
      <c r="H413" s="28">
        <v>116336</v>
      </c>
      <c r="I413" s="16"/>
      <c r="J413" s="28">
        <v>0</v>
      </c>
      <c r="L413" s="79"/>
    </row>
    <row r="414" spans="1:10" ht="18" customHeight="1" thickBot="1">
      <c r="A414" s="3" t="s">
        <v>45</v>
      </c>
      <c r="D414" s="21">
        <f>SUM(D385:D413)</f>
        <v>5862763</v>
      </c>
      <c r="E414" s="22"/>
      <c r="F414" s="21">
        <f>SUM(F385:F413)</f>
        <v>6679273</v>
      </c>
      <c r="G414" s="8"/>
      <c r="H414" s="21">
        <f>SUM(H385:H413)</f>
        <v>3782260</v>
      </c>
      <c r="I414" s="22"/>
      <c r="J414" s="21">
        <f>SUM(J385:J413)</f>
        <v>2330955</v>
      </c>
    </row>
    <row r="415" spans="1:10" ht="18" customHeight="1" thickTop="1">
      <c r="A415" s="3"/>
      <c r="D415" s="8"/>
      <c r="E415" s="22"/>
      <c r="F415" s="8"/>
      <c r="G415" s="8"/>
      <c r="H415" s="8"/>
      <c r="I415" s="22"/>
      <c r="J415" s="8"/>
    </row>
    <row r="416" spans="1:10" ht="18" customHeight="1">
      <c r="A416" s="3"/>
      <c r="D416" s="8"/>
      <c r="E416" s="22"/>
      <c r="F416" s="8"/>
      <c r="G416" s="8"/>
      <c r="H416" s="8"/>
      <c r="I416" s="22"/>
      <c r="J416" s="8"/>
    </row>
    <row r="417" spans="1:10" ht="18" customHeight="1">
      <c r="A417" s="7" t="s">
        <v>46</v>
      </c>
      <c r="C417" s="2"/>
      <c r="D417" s="8"/>
      <c r="E417" s="22"/>
      <c r="F417" s="8"/>
      <c r="G417" s="8"/>
      <c r="H417" s="8"/>
      <c r="I417" s="22"/>
      <c r="J417" s="8"/>
    </row>
    <row r="418" spans="1:10" ht="18" customHeight="1">
      <c r="A418" s="3" t="s">
        <v>160</v>
      </c>
      <c r="D418" s="22">
        <v>3126871</v>
      </c>
      <c r="E418" s="35"/>
      <c r="F418" s="22">
        <v>3851558</v>
      </c>
      <c r="G418" s="22"/>
      <c r="H418" s="22">
        <v>2587381</v>
      </c>
      <c r="I418" s="35"/>
      <c r="J418" s="22">
        <v>3851558</v>
      </c>
    </row>
    <row r="419" spans="1:10" ht="18" customHeight="1">
      <c r="A419" s="3" t="s">
        <v>291</v>
      </c>
      <c r="D419" s="29">
        <v>0</v>
      </c>
      <c r="E419" s="6"/>
      <c r="F419" s="28">
        <v>0</v>
      </c>
      <c r="G419" s="6"/>
      <c r="H419" s="29">
        <v>0</v>
      </c>
      <c r="I419" s="6"/>
      <c r="J419" s="28">
        <v>0</v>
      </c>
    </row>
    <row r="420" spans="1:10" ht="18" customHeight="1" thickBot="1">
      <c r="A420" s="3" t="s">
        <v>47</v>
      </c>
      <c r="D420" s="21">
        <f>SUM(D418:D419)</f>
        <v>3126871</v>
      </c>
      <c r="E420" s="22"/>
      <c r="F420" s="21">
        <f>SUM(F418:F419)</f>
        <v>3851558</v>
      </c>
      <c r="G420" s="8"/>
      <c r="H420" s="21">
        <f>SUM(H418:H419)</f>
        <v>2587381</v>
      </c>
      <c r="I420" s="22"/>
      <c r="J420" s="21">
        <f>SUM(J418:J419)</f>
        <v>3851558</v>
      </c>
    </row>
    <row r="421" spans="1:9" ht="18" customHeight="1" thickTop="1">
      <c r="A421" s="3" t="s">
        <v>48</v>
      </c>
      <c r="I421" s="4"/>
    </row>
    <row r="423" spans="1:9" ht="18" customHeight="1">
      <c r="A423" s="7" t="s">
        <v>49</v>
      </c>
      <c r="C423" s="2"/>
      <c r="I423" s="4"/>
    </row>
    <row r="424" spans="1:10" ht="18" customHeight="1">
      <c r="A424" s="3" t="s">
        <v>266</v>
      </c>
      <c r="D424" s="22">
        <v>3412980</v>
      </c>
      <c r="E424" s="22"/>
      <c r="F424" s="22">
        <v>3036379</v>
      </c>
      <c r="G424" s="22"/>
      <c r="H424" s="22">
        <v>1818062</v>
      </c>
      <c r="I424" s="22"/>
      <c r="J424" s="22">
        <v>3093243</v>
      </c>
    </row>
    <row r="425" spans="1:10" ht="18" customHeight="1">
      <c r="A425" s="3" t="s">
        <v>211</v>
      </c>
      <c r="D425" s="1">
        <v>8738250</v>
      </c>
      <c r="E425" s="1"/>
      <c r="F425" s="1">
        <v>9865065</v>
      </c>
      <c r="G425" s="1"/>
      <c r="H425" s="1">
        <v>7643460</v>
      </c>
      <c r="I425" s="1"/>
      <c r="J425" s="1">
        <v>10458842</v>
      </c>
    </row>
    <row r="426" spans="1:10" ht="18" customHeight="1">
      <c r="A426" s="3" t="s">
        <v>212</v>
      </c>
      <c r="D426" s="6">
        <v>578042</v>
      </c>
      <c r="E426" s="6"/>
      <c r="F426" s="6">
        <v>593170</v>
      </c>
      <c r="G426" s="6"/>
      <c r="H426" s="6">
        <v>425174</v>
      </c>
      <c r="I426" s="6"/>
      <c r="J426" s="6">
        <v>579514</v>
      </c>
    </row>
    <row r="427" spans="1:10" ht="18" customHeight="1">
      <c r="A427" s="3" t="s">
        <v>213</v>
      </c>
      <c r="D427" s="23">
        <v>609692</v>
      </c>
      <c r="E427" s="6"/>
      <c r="F427" s="23">
        <v>630000</v>
      </c>
      <c r="G427" s="6"/>
      <c r="H427" s="23">
        <v>508303</v>
      </c>
      <c r="I427" s="6"/>
      <c r="J427" s="23">
        <v>630000</v>
      </c>
    </row>
    <row r="428" spans="1:10" ht="18" customHeight="1" thickBot="1">
      <c r="A428" s="3" t="s">
        <v>50</v>
      </c>
      <c r="D428" s="21">
        <f>SUM(D424:D427)</f>
        <v>13338964</v>
      </c>
      <c r="E428" s="22"/>
      <c r="F428" s="21">
        <f>SUM(F424:F427)</f>
        <v>14124614</v>
      </c>
      <c r="G428" s="8"/>
      <c r="H428" s="21">
        <f>SUM(H424:H427)</f>
        <v>10394999</v>
      </c>
      <c r="I428" s="22"/>
      <c r="J428" s="21">
        <f>SUM(J424:J427)</f>
        <v>14761599</v>
      </c>
    </row>
    <row r="429" spans="1:10" ht="18" customHeight="1" thickTop="1">
      <c r="A429" s="80" t="s">
        <v>0</v>
      </c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1:10" ht="18" customHeight="1">
      <c r="A430" s="80" t="s">
        <v>429</v>
      </c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1:10" ht="18" customHeight="1">
      <c r="A431" s="80" t="s">
        <v>417</v>
      </c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4:9" ht="18" customHeight="1">
      <c r="D432" s="1"/>
      <c r="E432" s="1"/>
      <c r="F432" s="1"/>
      <c r="G432" s="1"/>
      <c r="H432" s="1"/>
      <c r="I432" s="6"/>
    </row>
    <row r="433" spans="1:10" ht="18" customHeight="1">
      <c r="A433" s="7" t="s">
        <v>9</v>
      </c>
      <c r="D433" s="2" t="s">
        <v>204</v>
      </c>
      <c r="F433" s="2" t="s">
        <v>52</v>
      </c>
      <c r="G433" s="2"/>
      <c r="H433" s="2" t="s">
        <v>204</v>
      </c>
      <c r="I433" s="4"/>
      <c r="J433" s="2" t="s">
        <v>53</v>
      </c>
    </row>
    <row r="434" spans="1:10" ht="18" customHeight="1">
      <c r="A434" s="7" t="s">
        <v>83</v>
      </c>
      <c r="D434" s="14" t="s">
        <v>368</v>
      </c>
      <c r="F434" s="14" t="s">
        <v>383</v>
      </c>
      <c r="G434" s="17"/>
      <c r="H434" s="18" t="s">
        <v>418</v>
      </c>
      <c r="I434" s="4"/>
      <c r="J434" s="14" t="s">
        <v>419</v>
      </c>
    </row>
    <row r="435" spans="1:10" ht="18" customHeight="1">
      <c r="A435" s="3" t="s">
        <v>84</v>
      </c>
      <c r="D435" s="22">
        <f>11455318+1234157+8171100+1891213+328188</f>
        <v>23079976</v>
      </c>
      <c r="E435" s="22"/>
      <c r="F435" s="22">
        <f>21757938-30584</f>
        <v>21727354</v>
      </c>
      <c r="G435" s="22"/>
      <c r="H435" s="22">
        <f>16852258-58469</f>
        <v>16793789</v>
      </c>
      <c r="I435" s="8"/>
      <c r="J435" s="22">
        <f>21791561-63819</f>
        <v>21727742</v>
      </c>
    </row>
    <row r="436" spans="1:10" ht="18" customHeight="1">
      <c r="A436" s="3" t="s">
        <v>224</v>
      </c>
      <c r="D436" s="1">
        <f>27055820-1234157-8171100-1891213-328188</f>
        <v>15431162</v>
      </c>
      <c r="E436" s="1"/>
      <c r="F436" s="1">
        <v>16158170</v>
      </c>
      <c r="G436" s="1"/>
      <c r="H436" s="1">
        <v>11305249</v>
      </c>
      <c r="I436" s="6"/>
      <c r="J436" s="1">
        <v>15963624</v>
      </c>
    </row>
    <row r="437" spans="1:10" ht="18" customHeight="1">
      <c r="A437" s="3" t="s">
        <v>85</v>
      </c>
      <c r="D437" s="1">
        <v>10014770</v>
      </c>
      <c r="E437" s="1"/>
      <c r="F437" s="1">
        <v>11120240</v>
      </c>
      <c r="G437" s="1"/>
      <c r="H437" s="1">
        <v>7808641</v>
      </c>
      <c r="I437" s="6"/>
      <c r="J437" s="1">
        <v>10765143</v>
      </c>
    </row>
    <row r="438" spans="1:10" ht="18" customHeight="1">
      <c r="A438" s="3" t="s">
        <v>86</v>
      </c>
      <c r="D438" s="1">
        <v>453483</v>
      </c>
      <c r="E438" s="1"/>
      <c r="F438" s="1">
        <v>444346</v>
      </c>
      <c r="G438" s="1"/>
      <c r="H438" s="1">
        <v>165641</v>
      </c>
      <c r="I438" s="6"/>
      <c r="J438" s="1">
        <v>269660</v>
      </c>
    </row>
    <row r="439" spans="1:10" ht="18" customHeight="1">
      <c r="A439" s="3" t="s">
        <v>87</v>
      </c>
      <c r="D439" s="1">
        <v>333983</v>
      </c>
      <c r="E439" s="1"/>
      <c r="F439" s="1">
        <v>332254</v>
      </c>
      <c r="G439" s="1"/>
      <c r="H439" s="1">
        <v>280248</v>
      </c>
      <c r="I439" s="6"/>
      <c r="J439" s="1">
        <v>336280</v>
      </c>
    </row>
    <row r="440" spans="1:10" ht="18" customHeight="1">
      <c r="A440" s="3" t="s">
        <v>88</v>
      </c>
      <c r="D440" s="1">
        <f>499653+198901</f>
        <v>698554</v>
      </c>
      <c r="E440" s="1"/>
      <c r="F440" s="1">
        <v>641651</v>
      </c>
      <c r="G440" s="1"/>
      <c r="H440" s="1">
        <v>561623</v>
      </c>
      <c r="I440" s="6"/>
      <c r="J440" s="1">
        <v>485844</v>
      </c>
    </row>
    <row r="441" spans="1:10" ht="18" customHeight="1">
      <c r="A441" s="3" t="s">
        <v>89</v>
      </c>
      <c r="D441" s="1">
        <v>121172</v>
      </c>
      <c r="E441" s="1"/>
      <c r="F441" s="1">
        <v>121172</v>
      </c>
      <c r="G441" s="1"/>
      <c r="H441" s="1">
        <v>83332</v>
      </c>
      <c r="I441" s="6"/>
      <c r="J441" s="1">
        <v>94666</v>
      </c>
    </row>
    <row r="442" spans="1:10" ht="18" customHeight="1">
      <c r="A442" s="3" t="s">
        <v>225</v>
      </c>
      <c r="D442" s="23">
        <f>203929+59783</f>
        <v>263712</v>
      </c>
      <c r="E442" s="6"/>
      <c r="F442" s="23">
        <f>126944+30584+1</f>
        <v>157529</v>
      </c>
      <c r="G442" s="6"/>
      <c r="H442" s="23">
        <f>132805+58469</f>
        <v>191274</v>
      </c>
      <c r="I442" s="6"/>
      <c r="J442" s="23">
        <f>131631+63819</f>
        <v>195450</v>
      </c>
    </row>
    <row r="443" spans="1:10" ht="18" customHeight="1" thickBot="1">
      <c r="A443" s="3" t="s">
        <v>76</v>
      </c>
      <c r="D443" s="21">
        <f>SUM(D435:D442)</f>
        <v>50396812</v>
      </c>
      <c r="E443" s="22"/>
      <c r="F443" s="21">
        <f>SUM(F435:F442)</f>
        <v>50702716</v>
      </c>
      <c r="G443" s="8"/>
      <c r="H443" s="21">
        <f>SUM(H435:H442)</f>
        <v>37189797</v>
      </c>
      <c r="I443" s="8"/>
      <c r="J443" s="21">
        <f>SUM(J435:J442)</f>
        <v>49838409</v>
      </c>
    </row>
    <row r="444" spans="1:10" ht="18" customHeight="1" thickTop="1">
      <c r="A444" s="3"/>
      <c r="D444" s="8"/>
      <c r="E444" s="22"/>
      <c r="F444" s="8"/>
      <c r="G444" s="8"/>
      <c r="H444" s="8"/>
      <c r="I444" s="8"/>
      <c r="J444" s="8"/>
    </row>
    <row r="445" spans="1:10" ht="18" customHeight="1">
      <c r="A445" s="80" t="s">
        <v>0</v>
      </c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1:10" ht="18" customHeight="1">
      <c r="A446" s="80" t="s">
        <v>429</v>
      </c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1:10" ht="18" customHeight="1">
      <c r="A447" s="80" t="s">
        <v>417</v>
      </c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1:10" ht="18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1:10" ht="18" customHeight="1">
      <c r="A449" s="7" t="s">
        <v>13</v>
      </c>
      <c r="D449" s="2" t="s">
        <v>204</v>
      </c>
      <c r="F449" s="2" t="s">
        <v>52</v>
      </c>
      <c r="G449" s="2"/>
      <c r="H449" s="2" t="s">
        <v>204</v>
      </c>
      <c r="I449" s="4"/>
      <c r="J449" s="2" t="s">
        <v>53</v>
      </c>
    </row>
    <row r="450" spans="1:10" ht="18" customHeight="1">
      <c r="A450" s="7" t="s">
        <v>14</v>
      </c>
      <c r="D450" s="14" t="s">
        <v>368</v>
      </c>
      <c r="F450" s="14" t="s">
        <v>383</v>
      </c>
      <c r="G450" s="17"/>
      <c r="H450" s="18" t="s">
        <v>418</v>
      </c>
      <c r="I450" s="4"/>
      <c r="J450" s="14" t="s">
        <v>419</v>
      </c>
    </row>
    <row r="451" spans="1:10" ht="18" customHeight="1">
      <c r="A451" s="3" t="s">
        <v>90</v>
      </c>
      <c r="D451" s="1"/>
      <c r="E451" s="1"/>
      <c r="F451" s="1"/>
      <c r="G451" s="1"/>
      <c r="H451" s="1"/>
      <c r="I451" s="6"/>
      <c r="J451" s="1"/>
    </row>
    <row r="452" spans="1:10" ht="18" customHeight="1">
      <c r="A452" s="3" t="s">
        <v>91</v>
      </c>
      <c r="D452" s="22">
        <v>657458</v>
      </c>
      <c r="E452" s="22"/>
      <c r="F452" s="22">
        <f>619026+39512+192+146</f>
        <v>658876</v>
      </c>
      <c r="G452" s="22"/>
      <c r="H452" s="22">
        <f>626230+19136+202</f>
        <v>645568</v>
      </c>
      <c r="I452" s="8"/>
      <c r="J452" s="22">
        <f>619026+39512+191+157+1</f>
        <v>658887</v>
      </c>
    </row>
    <row r="453" spans="1:10" ht="18" customHeight="1">
      <c r="A453" s="3" t="s">
        <v>222</v>
      </c>
      <c r="D453" s="1">
        <v>1439000</v>
      </c>
      <c r="E453" s="1"/>
      <c r="F453" s="1">
        <f>1523221+344012+50397+354</f>
        <v>1917984</v>
      </c>
      <c r="G453" s="1"/>
      <c r="H453" s="1">
        <f>765872+158250+38317+249</f>
        <v>962688</v>
      </c>
      <c r="I453" s="6"/>
      <c r="J453" s="1">
        <f>1581588+169379+53240+270</f>
        <v>1804477</v>
      </c>
    </row>
    <row r="454" spans="1:10" ht="18" customHeight="1">
      <c r="A454" s="3" t="s">
        <v>221</v>
      </c>
      <c r="D454" s="1">
        <f>45677+13216</f>
        <v>58893</v>
      </c>
      <c r="E454" s="1"/>
      <c r="F454" s="1">
        <f>54244+56</f>
        <v>54300</v>
      </c>
      <c r="G454" s="1"/>
      <c r="H454" s="1">
        <f>33641+11602+60</f>
        <v>45303</v>
      </c>
      <c r="I454" s="6"/>
      <c r="J454" s="1">
        <f>38350+124</f>
        <v>38474</v>
      </c>
    </row>
    <row r="455" spans="1:10" ht="18" customHeight="1">
      <c r="A455" s="3" t="s">
        <v>223</v>
      </c>
      <c r="D455" s="23">
        <f>3916+1075</f>
        <v>4991</v>
      </c>
      <c r="E455" s="1"/>
      <c r="F455" s="23">
        <v>1584</v>
      </c>
      <c r="G455" s="6"/>
      <c r="H455" s="23">
        <f>2668+3997</f>
        <v>6665</v>
      </c>
      <c r="I455" s="6"/>
      <c r="J455" s="23">
        <f>4623</f>
        <v>4623</v>
      </c>
    </row>
    <row r="456" spans="1:10" ht="18" customHeight="1">
      <c r="A456" s="3" t="s">
        <v>92</v>
      </c>
      <c r="D456" s="22">
        <f>SUM(D452:D455)</f>
        <v>2160342</v>
      </c>
      <c r="E456" s="22"/>
      <c r="F456" s="22">
        <f>SUM(F452:F455)</f>
        <v>2632744</v>
      </c>
      <c r="G456" s="22"/>
      <c r="H456" s="22">
        <f>SUM(H452:H455)</f>
        <v>1660224</v>
      </c>
      <c r="I456" s="8"/>
      <c r="J456" s="22">
        <f>SUM(J452:J455)</f>
        <v>2506461</v>
      </c>
    </row>
    <row r="457" spans="4:10" ht="9.75" customHeight="1">
      <c r="D457" s="1"/>
      <c r="E457" s="1"/>
      <c r="F457" s="1"/>
      <c r="G457" s="1"/>
      <c r="H457" s="1"/>
      <c r="I457" s="6"/>
      <c r="J457" s="1"/>
    </row>
    <row r="458" spans="1:10" ht="18" customHeight="1">
      <c r="A458" s="3" t="s">
        <v>93</v>
      </c>
      <c r="D458" s="25"/>
      <c r="E458" s="25"/>
      <c r="F458" s="25"/>
      <c r="G458" s="25"/>
      <c r="H458" s="25"/>
      <c r="I458" s="24"/>
      <c r="J458" s="25"/>
    </row>
    <row r="459" spans="1:10" ht="18" customHeight="1">
      <c r="A459" s="3" t="s">
        <v>91</v>
      </c>
      <c r="D459" s="25">
        <v>1160918</v>
      </c>
      <c r="E459" s="25"/>
      <c r="F459" s="25">
        <f>1154643+69906+355+271</f>
        <v>1225175</v>
      </c>
      <c r="G459" s="25"/>
      <c r="H459" s="25">
        <f>1171000+33786+378+134</f>
        <v>1205298</v>
      </c>
      <c r="I459" s="24"/>
      <c r="J459" s="25">
        <f>1154642+73701+373+306</f>
        <v>1229022</v>
      </c>
    </row>
    <row r="460" spans="1:10" ht="18" customHeight="1">
      <c r="A460" s="3" t="s">
        <v>222</v>
      </c>
      <c r="D460" s="25">
        <v>991949</v>
      </c>
      <c r="E460" s="1"/>
      <c r="F460" s="1">
        <v>1152631</v>
      </c>
      <c r="G460" s="1"/>
      <c r="H460" s="1">
        <f>2111162</f>
        <v>2111162</v>
      </c>
      <c r="I460" s="6"/>
      <c r="J460" s="1">
        <f>3146402</f>
        <v>3146402</v>
      </c>
    </row>
    <row r="461" spans="1:10" ht="18" customHeight="1">
      <c r="A461" s="3" t="s">
        <v>221</v>
      </c>
      <c r="D461" s="25">
        <f>65742+17026</f>
        <v>82768</v>
      </c>
      <c r="E461" s="1"/>
      <c r="F461" s="1">
        <f>72100+84</f>
        <v>72184</v>
      </c>
      <c r="G461" s="1"/>
      <c r="H461" s="1">
        <f>61666+24576+133</f>
        <v>86375</v>
      </c>
      <c r="I461" s="6"/>
      <c r="J461" s="1">
        <f>75479+203</f>
        <v>75682</v>
      </c>
    </row>
    <row r="462" spans="1:10" ht="18" customHeight="1">
      <c r="A462" s="3" t="s">
        <v>94</v>
      </c>
      <c r="D462" s="25">
        <v>828392</v>
      </c>
      <c r="E462" s="1"/>
      <c r="F462" s="1">
        <f>3442+312805+4424+526313</f>
        <v>846984</v>
      </c>
      <c r="G462" s="1"/>
      <c r="H462" s="1">
        <f>2663+133580+4730+367110</f>
        <v>508083</v>
      </c>
      <c r="I462" s="6"/>
      <c r="J462" s="1">
        <f>3148+165789+6728+450629</f>
        <v>626294</v>
      </c>
    </row>
    <row r="463" spans="1:10" ht="18" customHeight="1">
      <c r="A463" s="3" t="s">
        <v>223</v>
      </c>
      <c r="D463" s="29">
        <f>6915+146159</f>
        <v>153074</v>
      </c>
      <c r="E463" s="1"/>
      <c r="F463" s="30">
        <f>113146+2902-1</f>
        <v>116047</v>
      </c>
      <c r="G463" s="6"/>
      <c r="H463" s="23">
        <f>175671+6993</f>
        <v>182664</v>
      </c>
      <c r="I463" s="6"/>
      <c r="J463" s="30">
        <f>179744+8670-1</f>
        <v>188413</v>
      </c>
    </row>
    <row r="464" spans="1:10" ht="18" customHeight="1">
      <c r="A464" s="3" t="s">
        <v>92</v>
      </c>
      <c r="D464" s="22">
        <f>SUM(D459:D463)</f>
        <v>3217101</v>
      </c>
      <c r="E464" s="22"/>
      <c r="F464" s="22">
        <f>SUM(F459:F463)</f>
        <v>3413021</v>
      </c>
      <c r="G464" s="22"/>
      <c r="H464" s="22">
        <f>SUM(H459:H463)</f>
        <v>4093582</v>
      </c>
      <c r="I464" s="8"/>
      <c r="J464" s="22">
        <f>SUM(J459:J463)</f>
        <v>5265813</v>
      </c>
    </row>
    <row r="465" spans="4:10" ht="9.75" customHeight="1">
      <c r="D465" s="1"/>
      <c r="E465" s="1"/>
      <c r="F465" s="1"/>
      <c r="G465" s="1"/>
      <c r="H465" s="1"/>
      <c r="I465" s="6"/>
      <c r="J465" s="1"/>
    </row>
    <row r="466" spans="1:10" ht="18" customHeight="1">
      <c r="A466" s="3" t="s">
        <v>17</v>
      </c>
      <c r="D466" s="1"/>
      <c r="E466" s="1"/>
      <c r="F466" s="1"/>
      <c r="G466" s="1"/>
      <c r="H466" s="1"/>
      <c r="I466" s="6"/>
      <c r="J466" s="1"/>
    </row>
    <row r="467" spans="1:10" ht="18" customHeight="1">
      <c r="A467" s="3" t="s">
        <v>91</v>
      </c>
      <c r="D467" s="25">
        <f>3765357</f>
        <v>3765357</v>
      </c>
      <c r="E467" s="25"/>
      <c r="F467" s="25">
        <f>4534090+227348+1099+809</f>
        <v>4763346</v>
      </c>
      <c r="G467" s="25"/>
      <c r="H467" s="25">
        <f>4587265+109581+1482+436+1</f>
        <v>4698765</v>
      </c>
      <c r="I467" s="24"/>
      <c r="J467" s="25">
        <f>4534090+289410+1443+841</f>
        <v>4825784</v>
      </c>
    </row>
    <row r="468" spans="1:10" ht="18" customHeight="1">
      <c r="A468" s="3" t="s">
        <v>222</v>
      </c>
      <c r="D468" s="24">
        <v>0</v>
      </c>
      <c r="E468" s="25"/>
      <c r="F468" s="24">
        <v>0</v>
      </c>
      <c r="G468" s="6"/>
      <c r="H468" s="24">
        <v>0</v>
      </c>
      <c r="I468" s="24"/>
      <c r="J468" s="24">
        <v>0</v>
      </c>
    </row>
    <row r="469" spans="1:10" ht="18" customHeight="1">
      <c r="A469" s="3" t="s">
        <v>221</v>
      </c>
      <c r="D469" s="6">
        <f>38287+5517</f>
        <v>43804</v>
      </c>
      <c r="E469" s="25"/>
      <c r="F469" s="6">
        <f>37844+31</f>
        <v>37875</v>
      </c>
      <c r="G469" s="6"/>
      <c r="H469" s="6">
        <f>26870+10700+37</f>
        <v>37607</v>
      </c>
      <c r="I469" s="24"/>
      <c r="J469" s="6">
        <f>30632+49</f>
        <v>30681</v>
      </c>
    </row>
    <row r="470" spans="1:10" ht="18" customHeight="1">
      <c r="A470" s="3" t="s">
        <v>223</v>
      </c>
      <c r="D470" s="30">
        <v>22435</v>
      </c>
      <c r="E470" s="1"/>
      <c r="F470" s="29">
        <v>8958</v>
      </c>
      <c r="G470" s="6"/>
      <c r="H470" s="23">
        <f>23530+2807</f>
        <v>26337</v>
      </c>
      <c r="I470" s="6"/>
      <c r="J470" s="29">
        <f>26970</f>
        <v>26970</v>
      </c>
    </row>
    <row r="471" spans="1:10" ht="18" customHeight="1">
      <c r="A471" s="3" t="s">
        <v>92</v>
      </c>
      <c r="D471" s="22">
        <f>SUM(D467:D470)</f>
        <v>3831596</v>
      </c>
      <c r="E471" s="22"/>
      <c r="F471" s="22">
        <f>SUM(F467:F470)</f>
        <v>4810179</v>
      </c>
      <c r="G471" s="22"/>
      <c r="H471" s="22">
        <f>SUM(H467:H470)</f>
        <v>4762709</v>
      </c>
      <c r="I471" s="8"/>
      <c r="J471" s="22">
        <f>SUM(J467:J470)</f>
        <v>4883435</v>
      </c>
    </row>
    <row r="472" spans="4:10" ht="9.75" customHeight="1">
      <c r="D472" s="1"/>
      <c r="E472" s="1"/>
      <c r="F472" s="1"/>
      <c r="G472" s="1"/>
      <c r="H472" s="1"/>
      <c r="I472" s="6"/>
      <c r="J472" s="1"/>
    </row>
    <row r="473" spans="1:10" ht="18" customHeight="1">
      <c r="A473" s="3" t="s">
        <v>95</v>
      </c>
      <c r="D473" s="1"/>
      <c r="E473" s="1"/>
      <c r="F473" s="1"/>
      <c r="G473" s="1"/>
      <c r="H473" s="1"/>
      <c r="I473" s="6"/>
      <c r="J473" s="1"/>
    </row>
    <row r="474" spans="1:10" ht="18" customHeight="1">
      <c r="A474" s="3" t="s">
        <v>91</v>
      </c>
      <c r="D474" s="25">
        <v>2663404</v>
      </c>
      <c r="E474" s="35"/>
      <c r="F474" s="25">
        <f>3045600+161089+799+587</f>
        <v>3208075</v>
      </c>
      <c r="G474" s="25"/>
      <c r="H474" s="25">
        <f>3080239+77589+995+308+1</f>
        <v>3159132</v>
      </c>
      <c r="I474" s="71"/>
      <c r="J474" s="25">
        <f>3045600+194400+987+651-1</f>
        <v>3241637</v>
      </c>
    </row>
    <row r="475" spans="1:10" ht="18" customHeight="1">
      <c r="A475" s="3" t="s">
        <v>222</v>
      </c>
      <c r="D475" s="24">
        <v>444000</v>
      </c>
      <c r="E475" s="26"/>
      <c r="F475" s="24">
        <v>0</v>
      </c>
      <c r="G475" s="27"/>
      <c r="H475" s="24">
        <v>0</v>
      </c>
      <c r="I475" s="27"/>
      <c r="J475" s="24">
        <v>0</v>
      </c>
    </row>
    <row r="476" spans="1:10" ht="18" customHeight="1">
      <c r="A476" s="3" t="s">
        <v>221</v>
      </c>
      <c r="D476" s="6">
        <f>28674+6902</f>
        <v>35576</v>
      </c>
      <c r="E476" s="25"/>
      <c r="F476" s="6">
        <f>28442+32</f>
        <v>28474</v>
      </c>
      <c r="G476" s="6"/>
      <c r="H476" s="6">
        <f>20417+8295+32</f>
        <v>28744</v>
      </c>
      <c r="I476" s="24"/>
      <c r="J476" s="6">
        <f>23276+42</f>
        <v>23318</v>
      </c>
    </row>
    <row r="477" spans="1:10" ht="18" customHeight="1">
      <c r="A477" s="3" t="s">
        <v>223</v>
      </c>
      <c r="D477" s="30">
        <v>15814</v>
      </c>
      <c r="E477" s="72"/>
      <c r="F477" s="28">
        <v>6428</v>
      </c>
      <c r="G477" s="6"/>
      <c r="H477" s="23">
        <f>2321+16480</f>
        <v>18801</v>
      </c>
      <c r="I477" s="73"/>
      <c r="J477" s="28">
        <f>19765</f>
        <v>19765</v>
      </c>
    </row>
    <row r="478" spans="1:10" ht="18" customHeight="1">
      <c r="A478" s="3" t="s">
        <v>92</v>
      </c>
      <c r="D478" s="22">
        <f>SUM(D474:D477)</f>
        <v>3158794</v>
      </c>
      <c r="E478" s="22"/>
      <c r="F478" s="22">
        <f>SUM(F474:F477)</f>
        <v>3242977</v>
      </c>
      <c r="G478" s="22"/>
      <c r="H478" s="22">
        <f>SUM(H474:H477)</f>
        <v>3206677</v>
      </c>
      <c r="I478" s="8"/>
      <c r="J478" s="22">
        <f>SUM(J474:J477)</f>
        <v>3284720</v>
      </c>
    </row>
    <row r="479" spans="4:10" ht="9.75" customHeight="1">
      <c r="D479" s="1"/>
      <c r="E479" s="1"/>
      <c r="F479" s="1"/>
      <c r="G479" s="1"/>
      <c r="H479" s="1"/>
      <c r="I479" s="6"/>
      <c r="J479" s="1"/>
    </row>
    <row r="480" spans="1:10" ht="18" customHeight="1">
      <c r="A480" s="3" t="s">
        <v>96</v>
      </c>
      <c r="D480" s="1"/>
      <c r="E480" s="1"/>
      <c r="F480" s="1"/>
      <c r="G480" s="1"/>
      <c r="H480" s="1"/>
      <c r="I480" s="6"/>
      <c r="J480" s="1"/>
    </row>
    <row r="481" spans="1:10" ht="18" customHeight="1">
      <c r="A481" s="3" t="s">
        <v>91</v>
      </c>
      <c r="D481" s="25">
        <v>3018133</v>
      </c>
      <c r="E481" s="25"/>
      <c r="F481" s="24">
        <f>2852280+182060+922+740</f>
        <v>3036002</v>
      </c>
      <c r="G481" s="25"/>
      <c r="H481" s="25">
        <f>2886770+87755+933+349</f>
        <v>2975807</v>
      </c>
      <c r="I481" s="24"/>
      <c r="J481" s="24">
        <f>2852280+182060+913+850-1</f>
        <v>3036102</v>
      </c>
    </row>
    <row r="482" spans="1:10" ht="18" customHeight="1">
      <c r="A482" s="3" t="s">
        <v>222</v>
      </c>
      <c r="D482" s="24">
        <v>0</v>
      </c>
      <c r="E482" s="25"/>
      <c r="F482" s="24">
        <v>0</v>
      </c>
      <c r="G482" s="24"/>
      <c r="H482" s="24">
        <v>0</v>
      </c>
      <c r="I482" s="24"/>
      <c r="J482" s="24">
        <v>0</v>
      </c>
    </row>
    <row r="483" spans="1:10" ht="18" customHeight="1">
      <c r="A483" s="3" t="s">
        <v>221</v>
      </c>
      <c r="D483" s="24">
        <f>42082+10005</f>
        <v>52087</v>
      </c>
      <c r="E483" s="25"/>
      <c r="F483" s="24">
        <f>52390+60</f>
        <v>52450</v>
      </c>
      <c r="G483" s="24"/>
      <c r="H483" s="24">
        <f>39072+16840+71</f>
        <v>55983</v>
      </c>
      <c r="I483" s="24"/>
      <c r="J483" s="24">
        <f>44542+123</f>
        <v>44665</v>
      </c>
    </row>
    <row r="484" spans="1:10" ht="18" customHeight="1">
      <c r="A484" s="3" t="s">
        <v>223</v>
      </c>
      <c r="D484" s="30">
        <v>18035</v>
      </c>
      <c r="E484" s="1"/>
      <c r="F484" s="28">
        <v>7672</v>
      </c>
      <c r="G484" s="6"/>
      <c r="H484" s="23">
        <v>17996</v>
      </c>
      <c r="I484" s="6"/>
      <c r="J484" s="28">
        <v>21757</v>
      </c>
    </row>
    <row r="485" spans="1:10" ht="18" customHeight="1">
      <c r="A485" s="3" t="s">
        <v>92</v>
      </c>
      <c r="D485" s="22">
        <f>SUM(D480:D484)</f>
        <v>3088255</v>
      </c>
      <c r="E485" s="22"/>
      <c r="F485" s="22">
        <f>SUM(F480:F484)</f>
        <v>3096124</v>
      </c>
      <c r="G485" s="22"/>
      <c r="H485" s="22">
        <f>SUM(H480:H484)</f>
        <v>3049786</v>
      </c>
      <c r="I485" s="8"/>
      <c r="J485" s="22">
        <f>SUM(J480:J484)</f>
        <v>3102524</v>
      </c>
    </row>
    <row r="486" spans="4:10" ht="9.75" customHeight="1">
      <c r="D486" s="1"/>
      <c r="E486" s="1"/>
      <c r="F486" s="1"/>
      <c r="G486" s="1"/>
      <c r="H486" s="1"/>
      <c r="I486" s="6"/>
      <c r="J486" s="1"/>
    </row>
    <row r="487" spans="1:10" ht="18" customHeight="1">
      <c r="A487" s="3" t="s">
        <v>97</v>
      </c>
      <c r="D487" s="22"/>
      <c r="E487" s="22"/>
      <c r="F487" s="22"/>
      <c r="G487" s="22"/>
      <c r="H487" s="22"/>
      <c r="I487" s="8"/>
      <c r="J487" s="22"/>
    </row>
    <row r="488" spans="1:10" ht="18" customHeight="1">
      <c r="A488" s="3" t="s">
        <v>91</v>
      </c>
      <c r="D488" s="25">
        <v>102706</v>
      </c>
      <c r="E488" s="25"/>
      <c r="F488" s="25">
        <f>100404+6079+31+24</f>
        <v>106538</v>
      </c>
      <c r="G488" s="25"/>
      <c r="H488" s="25">
        <f>101826+2990+33</f>
        <v>104849</v>
      </c>
      <c r="I488" s="24"/>
      <c r="J488" s="25">
        <f>100404+6409+32+27-1</f>
        <v>106871</v>
      </c>
    </row>
    <row r="489" spans="1:10" ht="18" customHeight="1">
      <c r="A489" s="3" t="s">
        <v>222</v>
      </c>
      <c r="D489" s="25">
        <v>90000</v>
      </c>
      <c r="E489" s="25"/>
      <c r="F489" s="25">
        <v>125000</v>
      </c>
      <c r="G489" s="25"/>
      <c r="H489" s="25">
        <v>125000</v>
      </c>
      <c r="I489" s="24"/>
      <c r="J489" s="25">
        <v>125000</v>
      </c>
    </row>
    <row r="490" spans="1:10" ht="18" customHeight="1">
      <c r="A490" s="3" t="s">
        <v>221</v>
      </c>
      <c r="D490" s="25">
        <v>0</v>
      </c>
      <c r="E490" s="25"/>
      <c r="F490" s="25">
        <v>0</v>
      </c>
      <c r="G490" s="25"/>
      <c r="H490" s="25">
        <f>118-112+1</f>
        <v>7</v>
      </c>
      <c r="I490" s="24"/>
      <c r="J490" s="25">
        <v>0</v>
      </c>
    </row>
    <row r="491" spans="1:10" ht="18" customHeight="1">
      <c r="A491" s="3" t="s">
        <v>223</v>
      </c>
      <c r="D491" s="29">
        <v>611</v>
      </c>
      <c r="E491" s="25"/>
      <c r="F491" s="29">
        <v>268</v>
      </c>
      <c r="G491" s="24"/>
      <c r="H491" s="28">
        <v>629</v>
      </c>
      <c r="I491" s="24"/>
      <c r="J491" s="29">
        <v>867</v>
      </c>
    </row>
    <row r="492" spans="1:10" ht="18" customHeight="1">
      <c r="A492" s="3" t="s">
        <v>92</v>
      </c>
      <c r="D492" s="22">
        <f>SUM(D488:D491)</f>
        <v>193317</v>
      </c>
      <c r="E492" s="22"/>
      <c r="F492" s="22">
        <f>SUM(F488:F491)</f>
        <v>231806</v>
      </c>
      <c r="G492" s="22"/>
      <c r="H492" s="22">
        <f>SUM(H488:H491)</f>
        <v>230485</v>
      </c>
      <c r="I492" s="8"/>
      <c r="J492" s="22">
        <f>SUM(J488:J491)</f>
        <v>232738</v>
      </c>
    </row>
    <row r="493" spans="1:10" ht="18" customHeight="1">
      <c r="A493" s="80" t="s">
        <v>0</v>
      </c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1:10" ht="18" customHeight="1">
      <c r="A494" s="80" t="s">
        <v>429</v>
      </c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1:10" ht="18" customHeight="1">
      <c r="A495" s="80" t="s">
        <v>417</v>
      </c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1:10" ht="18" customHeight="1">
      <c r="A496" s="80" t="s">
        <v>150</v>
      </c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1:10" ht="18" customHeight="1">
      <c r="A497" s="7" t="s">
        <v>13</v>
      </c>
      <c r="C497" s="2"/>
      <c r="D497" s="2" t="s">
        <v>204</v>
      </c>
      <c r="F497" s="2" t="s">
        <v>52</v>
      </c>
      <c r="G497" s="2"/>
      <c r="H497" s="2" t="s">
        <v>204</v>
      </c>
      <c r="I497" s="4"/>
      <c r="J497" s="2" t="s">
        <v>53</v>
      </c>
    </row>
    <row r="498" spans="1:10" ht="18" customHeight="1">
      <c r="A498" s="7" t="s">
        <v>397</v>
      </c>
      <c r="D498" s="14" t="s">
        <v>368</v>
      </c>
      <c r="F498" s="14" t="s">
        <v>383</v>
      </c>
      <c r="G498" s="17"/>
      <c r="H498" s="18" t="s">
        <v>418</v>
      </c>
      <c r="I498" s="4"/>
      <c r="J498" s="14" t="s">
        <v>419</v>
      </c>
    </row>
    <row r="499" spans="1:10" ht="18" customHeight="1">
      <c r="A499" s="3" t="s">
        <v>98</v>
      </c>
      <c r="D499" s="25"/>
      <c r="E499" s="25"/>
      <c r="F499" s="25"/>
      <c r="G499" s="25"/>
      <c r="H499" s="25"/>
      <c r="I499" s="24"/>
      <c r="J499" s="25"/>
    </row>
    <row r="500" spans="1:10" ht="18" customHeight="1">
      <c r="A500" s="3" t="s">
        <v>91</v>
      </c>
      <c r="D500" s="22">
        <v>708487</v>
      </c>
      <c r="E500" s="22"/>
      <c r="F500" s="22">
        <f>666643+42552+255+229+1</f>
        <v>709680</v>
      </c>
      <c r="G500" s="22"/>
      <c r="H500" s="22">
        <f>677143+20631+219</f>
        <v>697993</v>
      </c>
      <c r="I500" s="8"/>
      <c r="J500" s="22">
        <f>666643+42552+238+363+1</f>
        <v>709797</v>
      </c>
    </row>
    <row r="501" spans="1:10" ht="18" customHeight="1">
      <c r="A501" s="3" t="s">
        <v>103</v>
      </c>
      <c r="D501" s="25">
        <v>0</v>
      </c>
      <c r="E501" s="25"/>
      <c r="F501" s="25">
        <v>150000</v>
      </c>
      <c r="G501" s="25"/>
      <c r="H501" s="25">
        <v>150000</v>
      </c>
      <c r="I501" s="24"/>
      <c r="J501" s="25">
        <v>65000</v>
      </c>
    </row>
    <row r="502" spans="1:10" ht="18" customHeight="1">
      <c r="A502" s="3" t="s">
        <v>221</v>
      </c>
      <c r="D502" s="25">
        <f>13527+3456</f>
        <v>16983</v>
      </c>
      <c r="E502" s="35"/>
      <c r="F502" s="25">
        <f>16018+19</f>
        <v>16037</v>
      </c>
      <c r="G502" s="25"/>
      <c r="H502" s="25">
        <f>10201+4049+20</f>
        <v>14270</v>
      </c>
      <c r="I502" s="71"/>
      <c r="J502" s="25">
        <f>11629+29</f>
        <v>11658</v>
      </c>
    </row>
    <row r="503" spans="1:10" ht="18" customHeight="1">
      <c r="A503" s="3" t="s">
        <v>223</v>
      </c>
      <c r="D503" s="29">
        <v>4221</v>
      </c>
      <c r="E503" s="72"/>
      <c r="F503" s="29">
        <v>2037</v>
      </c>
      <c r="G503" s="24"/>
      <c r="H503" s="28">
        <v>4311</v>
      </c>
      <c r="I503" s="73"/>
      <c r="J503" s="29">
        <v>6703</v>
      </c>
    </row>
    <row r="504" spans="1:10" ht="18" customHeight="1">
      <c r="A504" s="3" t="s">
        <v>92</v>
      </c>
      <c r="D504" s="22">
        <f>SUM(D499:D503)</f>
        <v>729691</v>
      </c>
      <c r="E504" s="22"/>
      <c r="F504" s="22">
        <f>SUM(F499:F503)</f>
        <v>877754</v>
      </c>
      <c r="G504" s="22"/>
      <c r="H504" s="22">
        <f>SUM(H499:H503)</f>
        <v>866574</v>
      </c>
      <c r="I504" s="8"/>
      <c r="J504" s="22">
        <f>SUM(J499:J503)</f>
        <v>793158</v>
      </c>
    </row>
    <row r="505" spans="4:10" ht="9.75" customHeight="1">
      <c r="D505" s="1"/>
      <c r="E505" s="1"/>
      <c r="F505" s="1"/>
      <c r="G505" s="1"/>
      <c r="H505" s="1"/>
      <c r="I505" s="6"/>
      <c r="J505" s="1"/>
    </row>
    <row r="506" spans="1:10" ht="18" customHeight="1">
      <c r="A506" s="3" t="s">
        <v>99</v>
      </c>
      <c r="D506" s="1"/>
      <c r="E506" s="1"/>
      <c r="F506" s="1"/>
      <c r="G506" s="1"/>
      <c r="H506" s="1"/>
      <c r="I506" s="6"/>
      <c r="J506" s="1"/>
    </row>
    <row r="507" spans="1:10" ht="18" customHeight="1">
      <c r="A507" s="3" t="s">
        <v>91</v>
      </c>
      <c r="D507" s="25">
        <v>4017263</v>
      </c>
      <c r="E507" s="25"/>
      <c r="F507" s="25">
        <v>4044612</v>
      </c>
      <c r="G507" s="25"/>
      <c r="H507" s="25">
        <f>3843935+116907+1242+465</f>
        <v>3962549</v>
      </c>
      <c r="I507" s="24"/>
      <c r="J507" s="25">
        <f>4095965+242545+1244+1056</f>
        <v>4340810</v>
      </c>
    </row>
    <row r="508" spans="1:10" ht="18" customHeight="1">
      <c r="A508" s="3" t="s">
        <v>103</v>
      </c>
      <c r="D508" s="25">
        <v>154011</v>
      </c>
      <c r="E508" s="72"/>
      <c r="F508" s="25">
        <v>210577</v>
      </c>
      <c r="G508" s="25"/>
      <c r="H508" s="25">
        <f>66156</f>
        <v>66156</v>
      </c>
      <c r="I508" s="73"/>
      <c r="J508" s="25">
        <f>81827</f>
        <v>81827</v>
      </c>
    </row>
    <row r="509" spans="1:10" ht="18" customHeight="1">
      <c r="A509" s="3" t="s">
        <v>221</v>
      </c>
      <c r="D509" s="25">
        <f>58665+14153</f>
        <v>72818</v>
      </c>
      <c r="E509" s="72"/>
      <c r="F509" s="25">
        <f>72832+93</f>
        <v>72925</v>
      </c>
      <c r="G509" s="25"/>
      <c r="H509" s="25">
        <f>54520+23952+95</f>
        <v>78567</v>
      </c>
      <c r="I509" s="73"/>
      <c r="J509" s="25">
        <f>62153+139</f>
        <v>62292</v>
      </c>
    </row>
    <row r="510" spans="1:10" ht="18" customHeight="1">
      <c r="A510" s="3" t="s">
        <v>104</v>
      </c>
      <c r="D510" s="29">
        <f>23935+20393</f>
        <v>44328</v>
      </c>
      <c r="E510" s="72"/>
      <c r="F510" s="29">
        <f>10136+23682</f>
        <v>33818</v>
      </c>
      <c r="G510" s="24"/>
      <c r="H510" s="28">
        <f>23973+26675</f>
        <v>50648</v>
      </c>
      <c r="I510" s="73"/>
      <c r="J510" s="29">
        <f>29260+32781</f>
        <v>62041</v>
      </c>
    </row>
    <row r="511" spans="1:10" ht="18" customHeight="1">
      <c r="A511" s="3" t="s">
        <v>92</v>
      </c>
      <c r="D511" s="22">
        <f>SUM(D507:D510)</f>
        <v>4288420</v>
      </c>
      <c r="E511" s="22"/>
      <c r="F511" s="22">
        <f>SUM(F507:F510)</f>
        <v>4361932</v>
      </c>
      <c r="G511" s="22"/>
      <c r="H511" s="22">
        <f>SUM(H507:H510)</f>
        <v>4157920</v>
      </c>
      <c r="I511" s="8"/>
      <c r="J511" s="22">
        <f>SUM(J507:J510)</f>
        <v>4546970</v>
      </c>
    </row>
    <row r="512" spans="4:10" ht="9.75" customHeight="1">
      <c r="D512" s="1"/>
      <c r="E512" s="1"/>
      <c r="F512" s="1"/>
      <c r="G512" s="1"/>
      <c r="H512" s="1"/>
      <c r="I512" s="6"/>
      <c r="J512" s="1"/>
    </row>
    <row r="513" spans="1:10" ht="18" customHeight="1">
      <c r="A513" s="3" t="s">
        <v>100</v>
      </c>
      <c r="D513" s="1"/>
      <c r="E513" s="1"/>
      <c r="F513" s="1"/>
      <c r="G513" s="1"/>
      <c r="H513" s="1"/>
      <c r="I513" s="6"/>
      <c r="J513" s="1"/>
    </row>
    <row r="514" spans="1:10" ht="18" customHeight="1">
      <c r="A514" s="3" t="s">
        <v>91</v>
      </c>
      <c r="D514" s="25">
        <v>1354223</v>
      </c>
      <c r="E514" s="35"/>
      <c r="F514" s="25">
        <v>1061268</v>
      </c>
      <c r="G514" s="25"/>
      <c r="H514" s="25">
        <f>992804+38869+321-1</f>
        <v>1031993</v>
      </c>
      <c r="I514" s="71"/>
      <c r="J514" s="25">
        <f>979860+62544+289+532</f>
        <v>1043225</v>
      </c>
    </row>
    <row r="515" spans="1:10" ht="18" customHeight="1">
      <c r="A515" s="3" t="s">
        <v>103</v>
      </c>
      <c r="D515" s="25">
        <v>281016</v>
      </c>
      <c r="E515" s="35"/>
      <c r="F515" s="25">
        <v>0</v>
      </c>
      <c r="G515" s="6"/>
      <c r="H515" s="24">
        <v>257419</v>
      </c>
      <c r="I515" s="71"/>
      <c r="J515" s="25">
        <v>0</v>
      </c>
    </row>
    <row r="516" spans="1:10" ht="18" customHeight="1">
      <c r="A516" s="3" t="s">
        <v>221</v>
      </c>
      <c r="D516" s="25">
        <f>43505+166715</f>
        <v>210220</v>
      </c>
      <c r="E516" s="35"/>
      <c r="F516" s="6">
        <f>199670+277</f>
        <v>199947</v>
      </c>
      <c r="G516" s="6"/>
      <c r="H516" s="6">
        <f>171890+68507+336</f>
        <v>240733</v>
      </c>
      <c r="I516" s="71"/>
      <c r="J516" s="6">
        <f>195954+695</f>
        <v>196649</v>
      </c>
    </row>
    <row r="517" spans="1:10" ht="18" customHeight="1">
      <c r="A517" s="3" t="s">
        <v>104</v>
      </c>
      <c r="D517" s="29">
        <v>8414</v>
      </c>
      <c r="E517" s="72"/>
      <c r="F517" s="29">
        <v>3942</v>
      </c>
      <c r="G517" s="24"/>
      <c r="H517" s="29">
        <v>7818</v>
      </c>
      <c r="I517" s="73"/>
      <c r="J517" s="29">
        <v>9118</v>
      </c>
    </row>
    <row r="518" spans="1:10" ht="18" customHeight="1">
      <c r="A518" s="3" t="s">
        <v>92</v>
      </c>
      <c r="D518" s="22">
        <f>SUM(D514:D517)</f>
        <v>1853873</v>
      </c>
      <c r="E518" s="22"/>
      <c r="F518" s="22">
        <f>SUM(F514:F517)</f>
        <v>1265157</v>
      </c>
      <c r="G518" s="22"/>
      <c r="H518" s="22">
        <f>SUM(H514:H517)</f>
        <v>1537963</v>
      </c>
      <c r="I518" s="8"/>
      <c r="J518" s="22">
        <f>SUM(J514:J517)</f>
        <v>1248992</v>
      </c>
    </row>
    <row r="519" spans="4:10" ht="9.75" customHeight="1">
      <c r="D519" s="1"/>
      <c r="E519" s="1"/>
      <c r="F519" s="1"/>
      <c r="G519" s="1"/>
      <c r="H519" s="1"/>
      <c r="I519" s="6"/>
      <c r="J519" s="1"/>
    </row>
    <row r="520" spans="1:10" ht="18" customHeight="1">
      <c r="A520" s="3" t="s">
        <v>101</v>
      </c>
      <c r="D520" s="1"/>
      <c r="E520" s="1"/>
      <c r="F520" s="1"/>
      <c r="G520" s="1"/>
      <c r="H520" s="1"/>
      <c r="I520" s="6"/>
      <c r="J520" s="1"/>
    </row>
    <row r="521" spans="1:10" ht="18" customHeight="1">
      <c r="A521" s="3" t="s">
        <v>91</v>
      </c>
      <c r="D521" s="25">
        <v>999830</v>
      </c>
      <c r="E521" s="35"/>
      <c r="F521" s="25">
        <f>952347+60788+305+175+2</f>
        <v>1013617</v>
      </c>
      <c r="G521" s="25"/>
      <c r="H521" s="25">
        <f>967348+29302+313</f>
        <v>996963</v>
      </c>
      <c r="I521" s="71"/>
      <c r="J521" s="25">
        <f>656247+60788+289+200</f>
        <v>717524</v>
      </c>
    </row>
    <row r="522" spans="1:10" ht="18" customHeight="1">
      <c r="A522" s="3" t="s">
        <v>103</v>
      </c>
      <c r="D522" s="25">
        <v>0</v>
      </c>
      <c r="E522" s="72"/>
      <c r="F522" s="31">
        <v>0</v>
      </c>
      <c r="G522" s="6"/>
      <c r="H522" s="31">
        <v>0</v>
      </c>
      <c r="I522" s="73"/>
      <c r="J522" s="31">
        <v>0</v>
      </c>
    </row>
    <row r="523" spans="1:10" ht="18" customHeight="1">
      <c r="A523" s="3" t="s">
        <v>221</v>
      </c>
      <c r="D523" s="25">
        <f>66818+252337</f>
        <v>319155</v>
      </c>
      <c r="E523" s="72"/>
      <c r="F523" s="6">
        <f>289039+345</f>
        <v>289384</v>
      </c>
      <c r="G523" s="6"/>
      <c r="H523" s="6">
        <f>231856+88889+438-1</f>
        <v>321182</v>
      </c>
      <c r="I523" s="73"/>
      <c r="J523" s="6">
        <f>264316+710</f>
        <v>265026</v>
      </c>
    </row>
    <row r="524" spans="1:10" ht="18" customHeight="1">
      <c r="A524" s="3" t="s">
        <v>104</v>
      </c>
      <c r="D524" s="29">
        <v>5828</v>
      </c>
      <c r="E524" s="72"/>
      <c r="F524" s="29">
        <v>2214</v>
      </c>
      <c r="G524" s="24"/>
      <c r="H524" s="24">
        <v>6129</v>
      </c>
      <c r="I524" s="73"/>
      <c r="J524" s="29">
        <v>7214</v>
      </c>
    </row>
    <row r="525" spans="1:10" ht="18" customHeight="1">
      <c r="A525" s="3" t="s">
        <v>92</v>
      </c>
      <c r="D525" s="32">
        <f>SUM(D521:D524)</f>
        <v>1324813</v>
      </c>
      <c r="E525" s="22"/>
      <c r="F525" s="32">
        <f>SUM(F521:F524)</f>
        <v>1305215</v>
      </c>
      <c r="G525" s="8"/>
      <c r="H525" s="32">
        <f>SUM(H521:H524)</f>
        <v>1324274</v>
      </c>
      <c r="I525" s="8"/>
      <c r="J525" s="32">
        <f>SUM(J521:J524)</f>
        <v>989764</v>
      </c>
    </row>
    <row r="526" spans="1:10" ht="18" customHeight="1">
      <c r="A526" s="3"/>
      <c r="D526" s="22"/>
      <c r="E526" s="22"/>
      <c r="F526" s="22"/>
      <c r="G526" s="22"/>
      <c r="H526" s="22"/>
      <c r="I526" s="8"/>
      <c r="J526" s="22"/>
    </row>
    <row r="527" spans="1:10" ht="18" customHeight="1">
      <c r="A527" s="3" t="s">
        <v>25</v>
      </c>
      <c r="D527" s="20">
        <f>D525+D518+D511+D504+D456+D464+D471+D478+D485+D492</f>
        <v>23846202</v>
      </c>
      <c r="E527" s="22"/>
      <c r="F527" s="20">
        <f>F525+F518+F511+F504+F456+F464+F471+F478+F485+F492</f>
        <v>25236909</v>
      </c>
      <c r="G527" s="8"/>
      <c r="H527" s="20">
        <f>H525+H518+H511+H504+H456+H464+H471+H478+H485+H492</f>
        <v>24890194</v>
      </c>
      <c r="I527" s="8"/>
      <c r="J527" s="20">
        <f>J525+J518+J511+J504+J456+J464+J471+J478+J485+J492</f>
        <v>26854575</v>
      </c>
    </row>
    <row r="528" spans="1:10" ht="18" customHeight="1">
      <c r="A528" s="3"/>
      <c r="D528" s="22"/>
      <c r="E528" s="22"/>
      <c r="F528" s="22"/>
      <c r="G528" s="22"/>
      <c r="H528" s="22"/>
      <c r="I528" s="8"/>
      <c r="J528" s="22"/>
    </row>
    <row r="529" spans="1:10" ht="18" customHeight="1">
      <c r="A529" s="3"/>
      <c r="D529" s="22"/>
      <c r="E529" s="22"/>
      <c r="F529" s="22"/>
      <c r="G529" s="22"/>
      <c r="H529" s="22"/>
      <c r="I529" s="8"/>
      <c r="J529" s="22"/>
    </row>
    <row r="530" spans="1:10" ht="18" customHeight="1">
      <c r="A530" s="80" t="s">
        <v>0</v>
      </c>
      <c r="B530" s="80"/>
      <c r="C530" s="80"/>
      <c r="D530" s="80"/>
      <c r="E530" s="80"/>
      <c r="F530" s="80"/>
      <c r="G530" s="80"/>
      <c r="H530" s="80"/>
      <c r="I530" s="80"/>
      <c r="J530" s="80"/>
    </row>
    <row r="531" spans="1:10" ht="18" customHeight="1">
      <c r="A531" s="80" t="s">
        <v>429</v>
      </c>
      <c r="B531" s="80"/>
      <c r="C531" s="80"/>
      <c r="D531" s="80"/>
      <c r="E531" s="80"/>
      <c r="F531" s="80"/>
      <c r="G531" s="80"/>
      <c r="H531" s="80"/>
      <c r="I531" s="80"/>
      <c r="J531" s="80"/>
    </row>
    <row r="532" spans="1:10" ht="18" customHeight="1">
      <c r="A532" s="80" t="s">
        <v>417</v>
      </c>
      <c r="B532" s="80"/>
      <c r="C532" s="80"/>
      <c r="D532" s="80"/>
      <c r="E532" s="80"/>
      <c r="F532" s="80"/>
      <c r="G532" s="80"/>
      <c r="H532" s="80"/>
      <c r="I532" s="80"/>
      <c r="J532" s="80"/>
    </row>
    <row r="533" spans="1:10" ht="18" customHeight="1">
      <c r="A533" s="80" t="s">
        <v>150</v>
      </c>
      <c r="B533" s="80"/>
      <c r="C533" s="80"/>
      <c r="D533" s="80"/>
      <c r="E533" s="80"/>
      <c r="F533" s="80"/>
      <c r="G533" s="80"/>
      <c r="H533" s="80"/>
      <c r="I533" s="80"/>
      <c r="J533" s="80"/>
    </row>
    <row r="534" spans="1:10" ht="18" customHeight="1">
      <c r="A534" s="7" t="s">
        <v>13</v>
      </c>
      <c r="D534" s="2" t="s">
        <v>204</v>
      </c>
      <c r="F534" s="2" t="s">
        <v>52</v>
      </c>
      <c r="G534" s="2"/>
      <c r="H534" s="2" t="s">
        <v>204</v>
      </c>
      <c r="I534" s="4"/>
      <c r="J534" s="2" t="s">
        <v>53</v>
      </c>
    </row>
    <row r="535" spans="1:10" ht="18" customHeight="1">
      <c r="A535" s="7" t="s">
        <v>431</v>
      </c>
      <c r="D535" s="14" t="s">
        <v>368</v>
      </c>
      <c r="F535" s="14" t="s">
        <v>383</v>
      </c>
      <c r="G535" s="17"/>
      <c r="H535" s="18" t="s">
        <v>418</v>
      </c>
      <c r="I535" s="4"/>
      <c r="J535" s="14" t="s">
        <v>419</v>
      </c>
    </row>
    <row r="536" spans="1:10" ht="18" customHeight="1">
      <c r="A536" s="3" t="s">
        <v>263</v>
      </c>
      <c r="D536" s="1"/>
      <c r="E536" s="1"/>
      <c r="F536" s="1"/>
      <c r="G536" s="1"/>
      <c r="H536" s="1"/>
      <c r="I536" s="6"/>
      <c r="J536" s="1"/>
    </row>
    <row r="537" spans="1:10" ht="18" customHeight="1">
      <c r="A537" s="3" t="s">
        <v>102</v>
      </c>
      <c r="D537" s="22">
        <v>575043</v>
      </c>
      <c r="E537" s="22"/>
      <c r="F537" s="22">
        <f>563768+19112+3177</f>
        <v>586057</v>
      </c>
      <c r="G537" s="22"/>
      <c r="H537" s="22">
        <f>593385+13349+1975+1</f>
        <v>608710</v>
      </c>
      <c r="I537" s="8"/>
      <c r="J537" s="22">
        <f>573647+14471+2075</f>
        <v>590193</v>
      </c>
    </row>
    <row r="538" spans="1:10" ht="18" customHeight="1">
      <c r="A538" s="3" t="s">
        <v>103</v>
      </c>
      <c r="D538" s="1">
        <v>0</v>
      </c>
      <c r="E538" s="1"/>
      <c r="F538" s="24">
        <v>100000</v>
      </c>
      <c r="G538" s="1"/>
      <c r="H538" s="24">
        <v>115000</v>
      </c>
      <c r="I538" s="6"/>
      <c r="J538" s="24">
        <v>115000</v>
      </c>
    </row>
    <row r="539" spans="1:10" ht="18" customHeight="1">
      <c r="A539" s="3" t="s">
        <v>221</v>
      </c>
      <c r="D539" s="1">
        <f>4349+1237</f>
        <v>5586</v>
      </c>
      <c r="E539" s="1"/>
      <c r="F539" s="1">
        <f>8201</f>
        <v>8201</v>
      </c>
      <c r="G539" s="1"/>
      <c r="H539" s="1">
        <f>3449+8+1548</f>
        <v>5005</v>
      </c>
      <c r="I539" s="6"/>
      <c r="J539" s="1">
        <v>0</v>
      </c>
    </row>
    <row r="540" spans="1:10" ht="18" customHeight="1">
      <c r="A540" s="3" t="s">
        <v>104</v>
      </c>
      <c r="D540" s="29">
        <v>7787</v>
      </c>
      <c r="E540" s="1"/>
      <c r="F540" s="33">
        <v>0</v>
      </c>
      <c r="G540" s="6"/>
      <c r="H540" s="29">
        <f>1000+70</f>
        <v>1070</v>
      </c>
      <c r="I540" s="6"/>
      <c r="J540" s="29">
        <v>1200</v>
      </c>
    </row>
    <row r="541" spans="1:10" ht="18" customHeight="1">
      <c r="A541" s="3" t="s">
        <v>92</v>
      </c>
      <c r="D541" s="22">
        <f>SUM(D537:D540)</f>
        <v>588416</v>
      </c>
      <c r="E541" s="22"/>
      <c r="F541" s="22">
        <f>SUM(F537:F540)</f>
        <v>694258</v>
      </c>
      <c r="G541" s="22"/>
      <c r="H541" s="22">
        <f>SUM(H537:H540)</f>
        <v>729785</v>
      </c>
      <c r="I541" s="8"/>
      <c r="J541" s="22">
        <f>SUM(J537:J540)</f>
        <v>706393</v>
      </c>
    </row>
    <row r="542" spans="4:10" ht="9.75" customHeight="1">
      <c r="D542" s="1"/>
      <c r="E542" s="1"/>
      <c r="F542" s="1"/>
      <c r="G542" s="1"/>
      <c r="H542" s="1"/>
      <c r="I542" s="6"/>
      <c r="J542" s="1"/>
    </row>
    <row r="543" spans="1:10" ht="18" customHeight="1">
      <c r="A543" s="3" t="s">
        <v>264</v>
      </c>
      <c r="D543" s="1"/>
      <c r="E543" s="1"/>
      <c r="F543" s="1"/>
      <c r="G543" s="1"/>
      <c r="H543" s="1"/>
      <c r="I543" s="6"/>
      <c r="J543" s="1"/>
    </row>
    <row r="544" spans="1:10" ht="18" customHeight="1">
      <c r="A544" s="3" t="s">
        <v>102</v>
      </c>
      <c r="D544" s="6">
        <v>29400</v>
      </c>
      <c r="E544" s="25"/>
      <c r="F544" s="25">
        <v>32749</v>
      </c>
      <c r="G544" s="25"/>
      <c r="H544" s="25">
        <f>27105</f>
        <v>27105</v>
      </c>
      <c r="I544" s="24"/>
      <c r="J544" s="25">
        <v>33242</v>
      </c>
    </row>
    <row r="545" spans="1:10" ht="18" customHeight="1">
      <c r="A545" s="3" t="s">
        <v>221</v>
      </c>
      <c r="D545" s="30">
        <f>1522+437</f>
        <v>1959</v>
      </c>
      <c r="E545" s="1"/>
      <c r="F545" s="30">
        <f>1579+2</f>
        <v>1581</v>
      </c>
      <c r="G545" s="6"/>
      <c r="H545" s="23">
        <f>1266+3+423-1</f>
        <v>1691</v>
      </c>
      <c r="I545" s="6"/>
      <c r="J545" s="30">
        <f>1494+3</f>
        <v>1497</v>
      </c>
    </row>
    <row r="546" spans="1:10" ht="18" customHeight="1">
      <c r="A546" s="3" t="s">
        <v>92</v>
      </c>
      <c r="D546" s="22">
        <f>SUM(D544:D545)</f>
        <v>31359</v>
      </c>
      <c r="E546" s="22"/>
      <c r="F546" s="22">
        <f>SUM(F544:F545)</f>
        <v>34330</v>
      </c>
      <c r="G546" s="22"/>
      <c r="H546" s="22">
        <f>SUM(H544:H545)</f>
        <v>28796</v>
      </c>
      <c r="I546" s="8"/>
      <c r="J546" s="22">
        <f>SUM(J544:J545)</f>
        <v>34739</v>
      </c>
    </row>
    <row r="547" spans="4:10" ht="9.75" customHeight="1">
      <c r="D547" s="1"/>
      <c r="E547" s="1"/>
      <c r="F547" s="1"/>
      <c r="G547" s="1"/>
      <c r="H547" s="1"/>
      <c r="I547" s="6"/>
      <c r="J547" s="1"/>
    </row>
    <row r="548" spans="1:10" ht="18" customHeight="1">
      <c r="A548" s="3" t="s">
        <v>137</v>
      </c>
      <c r="D548" s="1"/>
      <c r="E548" s="1"/>
      <c r="F548" s="1"/>
      <c r="G548" s="1"/>
      <c r="H548" s="1"/>
      <c r="I548" s="6"/>
      <c r="J548" s="1"/>
    </row>
    <row r="549" spans="1:10" ht="18" customHeight="1">
      <c r="A549" s="3" t="s">
        <v>102</v>
      </c>
      <c r="D549" s="25">
        <v>189250</v>
      </c>
      <c r="E549" s="25"/>
      <c r="F549" s="25">
        <f>14042+195054</f>
        <v>209096</v>
      </c>
      <c r="G549" s="25"/>
      <c r="H549" s="25">
        <f>21615+121606-1</f>
        <v>143220</v>
      </c>
      <c r="I549" s="24"/>
      <c r="J549" s="25">
        <f>27494+193929</f>
        <v>221423</v>
      </c>
    </row>
    <row r="550" spans="1:10" ht="18" customHeight="1">
      <c r="A550" s="3" t="s">
        <v>221</v>
      </c>
      <c r="D550" s="25">
        <f>10654+3636</f>
        <v>14290</v>
      </c>
      <c r="E550" s="25"/>
      <c r="F550" s="25">
        <f>15709+11</f>
        <v>15720</v>
      </c>
      <c r="G550" s="25"/>
      <c r="H550" s="25">
        <f>8196+16+2939</f>
        <v>11151</v>
      </c>
      <c r="I550" s="24"/>
      <c r="J550" s="25">
        <f>10327+13</f>
        <v>10340</v>
      </c>
    </row>
    <row r="551" spans="1:10" ht="18" customHeight="1">
      <c r="A551" s="3" t="s">
        <v>104</v>
      </c>
      <c r="D551" s="28">
        <v>0</v>
      </c>
      <c r="E551" s="25"/>
      <c r="F551" s="28">
        <v>0</v>
      </c>
      <c r="G551" s="24"/>
      <c r="H551" s="28">
        <v>0</v>
      </c>
      <c r="I551" s="24"/>
      <c r="J551" s="28">
        <v>0</v>
      </c>
    </row>
    <row r="552" spans="1:10" ht="18" customHeight="1">
      <c r="A552" s="3" t="s">
        <v>92</v>
      </c>
      <c r="D552" s="22">
        <f>SUM(D549:D551)</f>
        <v>203540</v>
      </c>
      <c r="E552" s="22"/>
      <c r="F552" s="22">
        <f>SUM(F549:F551)</f>
        <v>224816</v>
      </c>
      <c r="G552" s="22"/>
      <c r="H552" s="22">
        <f>SUM(H549:H551)</f>
        <v>154371</v>
      </c>
      <c r="I552" s="8"/>
      <c r="J552" s="22">
        <f>SUM(J549:J551)</f>
        <v>231763</v>
      </c>
    </row>
    <row r="553" spans="4:10" ht="9.75" customHeight="1">
      <c r="D553" s="1"/>
      <c r="E553" s="1"/>
      <c r="F553" s="1"/>
      <c r="G553" s="1"/>
      <c r="H553" s="1"/>
      <c r="I553" s="6"/>
      <c r="J553" s="1"/>
    </row>
    <row r="554" spans="1:10" ht="18" customHeight="1">
      <c r="A554" s="3" t="s">
        <v>105</v>
      </c>
      <c r="D554" s="1"/>
      <c r="E554" s="1"/>
      <c r="F554" s="1"/>
      <c r="G554" s="1"/>
      <c r="H554" s="1"/>
      <c r="I554" s="6"/>
      <c r="J554" s="1"/>
    </row>
    <row r="555" spans="1:10" ht="18" customHeight="1">
      <c r="A555" s="3" t="s">
        <v>102</v>
      </c>
      <c r="D555" s="25">
        <v>68000</v>
      </c>
      <c r="E555" s="25"/>
      <c r="F555" s="25">
        <f>65413</f>
        <v>65413</v>
      </c>
      <c r="G555" s="25"/>
      <c r="H555" s="25">
        <f>64990</f>
        <v>64990</v>
      </c>
      <c r="I555" s="24"/>
      <c r="J555" s="25">
        <v>62459</v>
      </c>
    </row>
    <row r="556" spans="1:10" ht="18" customHeight="1">
      <c r="A556" s="3" t="s">
        <v>221</v>
      </c>
      <c r="D556" s="25">
        <f>26609+7073</f>
        <v>33682</v>
      </c>
      <c r="E556" s="25"/>
      <c r="F556" s="25">
        <f>37720+26-1</f>
        <v>37745</v>
      </c>
      <c r="G556" s="25"/>
      <c r="H556" s="25">
        <f>23710+45+8688+1</f>
        <v>32444</v>
      </c>
      <c r="I556" s="24"/>
      <c r="J556" s="25">
        <f>2+55+1</f>
        <v>58</v>
      </c>
    </row>
    <row r="557" spans="1:10" ht="18" customHeight="1">
      <c r="A557" s="3" t="s">
        <v>104</v>
      </c>
      <c r="D557" s="28">
        <v>0</v>
      </c>
      <c r="E557" s="25"/>
      <c r="F557" s="28">
        <v>0</v>
      </c>
      <c r="G557" s="24"/>
      <c r="H557" s="28">
        <v>0</v>
      </c>
      <c r="I557" s="24"/>
      <c r="J557" s="28">
        <v>0</v>
      </c>
    </row>
    <row r="558" spans="1:10" ht="18" customHeight="1">
      <c r="A558" s="3" t="s">
        <v>92</v>
      </c>
      <c r="D558" s="22">
        <f>SUM(D555:D557)</f>
        <v>101682</v>
      </c>
      <c r="E558" s="22"/>
      <c r="F558" s="22">
        <f>SUM(F555:F557)</f>
        <v>103158</v>
      </c>
      <c r="G558" s="22"/>
      <c r="H558" s="22">
        <f>SUM(H555:H557)</f>
        <v>97434</v>
      </c>
      <c r="I558" s="8"/>
      <c r="J558" s="22">
        <f>SUM(J555:J557)</f>
        <v>62517</v>
      </c>
    </row>
    <row r="559" spans="4:10" ht="9.75" customHeight="1">
      <c r="D559" s="1"/>
      <c r="E559" s="1"/>
      <c r="F559" s="1"/>
      <c r="G559" s="1"/>
      <c r="H559" s="1"/>
      <c r="I559" s="6"/>
      <c r="J559" s="1"/>
    </row>
    <row r="560" spans="1:10" ht="18" customHeight="1">
      <c r="A560" s="3" t="s">
        <v>106</v>
      </c>
      <c r="D560" s="1"/>
      <c r="E560" s="1"/>
      <c r="F560" s="1"/>
      <c r="G560" s="1"/>
      <c r="H560" s="1"/>
      <c r="I560" s="6"/>
      <c r="J560" s="1"/>
    </row>
    <row r="561" spans="1:10" ht="18" customHeight="1">
      <c r="A561" s="3" t="s">
        <v>102</v>
      </c>
      <c r="D561" s="25">
        <v>312411</v>
      </c>
      <c r="E561" s="25"/>
      <c r="F561" s="25">
        <v>315693</v>
      </c>
      <c r="G561" s="25"/>
      <c r="H561" s="25">
        <f>215243</f>
        <v>215243</v>
      </c>
      <c r="I561" s="24"/>
      <c r="J561" s="25">
        <f>278247</f>
        <v>278247</v>
      </c>
    </row>
    <row r="562" spans="1:10" ht="18" customHeight="1">
      <c r="A562" s="3" t="s">
        <v>221</v>
      </c>
      <c r="D562" s="25">
        <f>34662+9572</f>
        <v>44234</v>
      </c>
      <c r="E562" s="25"/>
      <c r="F562" s="25">
        <f>49113+26+1</f>
        <v>49140</v>
      </c>
      <c r="G562" s="25"/>
      <c r="H562" s="25">
        <f>30428+57+11414-1</f>
        <v>41898</v>
      </c>
      <c r="I562" s="24"/>
      <c r="J562" s="25">
        <f>34688+47</f>
        <v>34735</v>
      </c>
    </row>
    <row r="563" spans="1:10" ht="18" customHeight="1">
      <c r="A563" s="3" t="s">
        <v>104</v>
      </c>
      <c r="D563" s="29">
        <v>226</v>
      </c>
      <c r="E563" s="25"/>
      <c r="F563" s="29">
        <v>0</v>
      </c>
      <c r="G563" s="24"/>
      <c r="H563" s="28">
        <v>771</v>
      </c>
      <c r="I563" s="24"/>
      <c r="J563" s="29">
        <v>0</v>
      </c>
    </row>
    <row r="564" spans="1:10" ht="18" customHeight="1">
      <c r="A564" s="3" t="s">
        <v>92</v>
      </c>
      <c r="D564" s="22">
        <f>SUM(D561:D563)</f>
        <v>356871</v>
      </c>
      <c r="E564" s="22"/>
      <c r="F564" s="22">
        <f>SUM(F561:F563)</f>
        <v>364833</v>
      </c>
      <c r="G564" s="22"/>
      <c r="H564" s="22">
        <f>SUM(H561:H563)</f>
        <v>257912</v>
      </c>
      <c r="I564" s="8"/>
      <c r="J564" s="22">
        <f>SUM(J561:J563)</f>
        <v>312982</v>
      </c>
    </row>
    <row r="565" spans="4:10" ht="9.75" customHeight="1">
      <c r="D565" s="1"/>
      <c r="E565" s="1"/>
      <c r="F565" s="1"/>
      <c r="G565" s="1"/>
      <c r="H565" s="1"/>
      <c r="I565" s="6"/>
      <c r="J565" s="1"/>
    </row>
    <row r="566" spans="1:10" ht="18" customHeight="1">
      <c r="A566" s="3" t="s">
        <v>267</v>
      </c>
      <c r="D566" s="1"/>
      <c r="E566" s="1"/>
      <c r="F566" s="1"/>
      <c r="G566" s="1"/>
      <c r="H566" s="1"/>
      <c r="I566" s="6"/>
      <c r="J566" s="1"/>
    </row>
    <row r="567" spans="1:10" ht="18" customHeight="1">
      <c r="A567" s="3" t="s">
        <v>102</v>
      </c>
      <c r="D567" s="6">
        <v>13437</v>
      </c>
      <c r="E567" s="24"/>
      <c r="F567" s="25">
        <v>0</v>
      </c>
      <c r="G567" s="6"/>
      <c r="H567" s="6">
        <v>3228</v>
      </c>
      <c r="I567" s="24"/>
      <c r="J567" s="25">
        <v>3960</v>
      </c>
    </row>
    <row r="568" spans="1:10" ht="18" customHeight="1">
      <c r="A568" s="3" t="s">
        <v>221</v>
      </c>
      <c r="D568" s="29">
        <v>0</v>
      </c>
      <c r="E568" s="25"/>
      <c r="F568" s="29">
        <v>0</v>
      </c>
      <c r="G568" s="24"/>
      <c r="H568" s="29">
        <v>0</v>
      </c>
      <c r="I568" s="24"/>
      <c r="J568" s="29">
        <v>0</v>
      </c>
    </row>
    <row r="569" spans="1:10" ht="18" customHeight="1">
      <c r="A569" s="3" t="s">
        <v>92</v>
      </c>
      <c r="D569" s="22">
        <f>SUM(D567:D568)</f>
        <v>13437</v>
      </c>
      <c r="E569" s="22"/>
      <c r="F569" s="22">
        <f>SUM(F567:F568)</f>
        <v>0</v>
      </c>
      <c r="G569" s="22"/>
      <c r="H569" s="22">
        <f>SUM(H567:H568)</f>
        <v>3228</v>
      </c>
      <c r="I569" s="8"/>
      <c r="J569" s="22">
        <f>SUM(J567:J568)</f>
        <v>3960</v>
      </c>
    </row>
    <row r="570" spans="4:10" ht="9.75" customHeight="1">
      <c r="D570" s="1"/>
      <c r="E570" s="1"/>
      <c r="F570" s="1"/>
      <c r="G570" s="1"/>
      <c r="H570" s="1"/>
      <c r="I570" s="6"/>
      <c r="J570" s="1"/>
    </row>
    <row r="571" spans="1:10" ht="18" customHeight="1">
      <c r="A571" s="3" t="s">
        <v>307</v>
      </c>
      <c r="D571" s="1"/>
      <c r="E571" s="1"/>
      <c r="F571" s="1"/>
      <c r="G571" s="1"/>
      <c r="H571" s="1"/>
      <c r="I571" s="6"/>
      <c r="J571" s="1"/>
    </row>
    <row r="572" spans="1:10" ht="18" customHeight="1">
      <c r="A572" s="3" t="s">
        <v>102</v>
      </c>
      <c r="D572" s="24">
        <v>64400</v>
      </c>
      <c r="E572" s="24"/>
      <c r="F572" s="25">
        <v>64996</v>
      </c>
      <c r="G572" s="24"/>
      <c r="H572" s="24">
        <v>24700</v>
      </c>
      <c r="I572" s="24"/>
      <c r="J572" s="25">
        <v>29949</v>
      </c>
    </row>
    <row r="573" spans="1:10" ht="18" customHeight="1">
      <c r="A573" s="3" t="s">
        <v>221</v>
      </c>
      <c r="D573" s="29">
        <f>2441+721</f>
        <v>3162</v>
      </c>
      <c r="E573" s="25"/>
      <c r="F573" s="29">
        <f>4133+5</f>
        <v>4138</v>
      </c>
      <c r="G573" s="24"/>
      <c r="H573" s="29">
        <f>2056+3+750</f>
        <v>2809</v>
      </c>
      <c r="I573" s="24"/>
      <c r="J573" s="29">
        <f>1850+3+1</f>
        <v>1854</v>
      </c>
    </row>
    <row r="574" spans="1:10" ht="18" customHeight="1">
      <c r="A574" s="3" t="s">
        <v>92</v>
      </c>
      <c r="D574" s="22">
        <f>SUM(D572:D573)</f>
        <v>67562</v>
      </c>
      <c r="E574" s="22"/>
      <c r="F574" s="22">
        <f>SUM(F572:F573)</f>
        <v>69134</v>
      </c>
      <c r="G574" s="22"/>
      <c r="H574" s="22">
        <f>SUM(H572:H573)</f>
        <v>27509</v>
      </c>
      <c r="I574" s="8"/>
      <c r="J574" s="22">
        <f>SUM(J572:J573)</f>
        <v>31803</v>
      </c>
    </row>
    <row r="575" spans="4:10" ht="9.75" customHeight="1">
      <c r="D575" s="1"/>
      <c r="E575" s="1"/>
      <c r="F575" s="1"/>
      <c r="G575" s="1"/>
      <c r="H575" s="1"/>
      <c r="I575" s="6"/>
      <c r="J575" s="1"/>
    </row>
    <row r="576" spans="1:10" ht="18" customHeight="1">
      <c r="A576" s="80" t="s">
        <v>0</v>
      </c>
      <c r="B576" s="80"/>
      <c r="C576" s="80"/>
      <c r="D576" s="80"/>
      <c r="E576" s="80"/>
      <c r="F576" s="80"/>
      <c r="G576" s="80"/>
      <c r="H576" s="80"/>
      <c r="I576" s="80"/>
      <c r="J576" s="80"/>
    </row>
    <row r="577" spans="1:10" ht="18" customHeight="1">
      <c r="A577" s="80" t="s">
        <v>429</v>
      </c>
      <c r="B577" s="80"/>
      <c r="C577" s="80"/>
      <c r="D577" s="80"/>
      <c r="E577" s="80"/>
      <c r="F577" s="80"/>
      <c r="G577" s="80"/>
      <c r="H577" s="80"/>
      <c r="I577" s="80"/>
      <c r="J577" s="80"/>
    </row>
    <row r="578" spans="1:10" ht="18" customHeight="1">
      <c r="A578" s="80" t="s">
        <v>417</v>
      </c>
      <c r="B578" s="80"/>
      <c r="C578" s="80"/>
      <c r="D578" s="80"/>
      <c r="E578" s="80"/>
      <c r="F578" s="80"/>
      <c r="G578" s="80"/>
      <c r="H578" s="80"/>
      <c r="I578" s="80"/>
      <c r="J578" s="80"/>
    </row>
    <row r="579" spans="1:10" ht="18" customHeight="1">
      <c r="A579" s="80" t="s">
        <v>150</v>
      </c>
      <c r="B579" s="80"/>
      <c r="C579" s="80"/>
      <c r="D579" s="80"/>
      <c r="E579" s="80"/>
      <c r="F579" s="80"/>
      <c r="G579" s="80"/>
      <c r="H579" s="80"/>
      <c r="I579" s="80"/>
      <c r="J579" s="80"/>
    </row>
    <row r="580" spans="1:10" ht="18" customHeight="1">
      <c r="A580" s="7" t="s">
        <v>13</v>
      </c>
      <c r="C580" s="2"/>
      <c r="D580" s="2" t="s">
        <v>204</v>
      </c>
      <c r="F580" s="2" t="s">
        <v>52</v>
      </c>
      <c r="G580" s="2"/>
      <c r="H580" s="2" t="s">
        <v>204</v>
      </c>
      <c r="I580" s="4"/>
      <c r="J580" s="2" t="s">
        <v>53</v>
      </c>
    </row>
    <row r="581" spans="1:10" ht="18" customHeight="1">
      <c r="A581" s="7" t="s">
        <v>432</v>
      </c>
      <c r="B581" s="3"/>
      <c r="D581" s="14" t="s">
        <v>368</v>
      </c>
      <c r="F581" s="14" t="s">
        <v>383</v>
      </c>
      <c r="G581" s="17"/>
      <c r="H581" s="18" t="s">
        <v>418</v>
      </c>
      <c r="I581" s="4"/>
      <c r="J581" s="14" t="s">
        <v>419</v>
      </c>
    </row>
    <row r="582" spans="1:10" ht="18" customHeight="1">
      <c r="A582" s="3" t="s">
        <v>161</v>
      </c>
      <c r="D582" s="1"/>
      <c r="E582" s="1"/>
      <c r="F582" s="1"/>
      <c r="G582" s="1"/>
      <c r="H582" s="1"/>
      <c r="I582" s="6"/>
      <c r="J582" s="1"/>
    </row>
    <row r="583" spans="1:10" ht="18" customHeight="1">
      <c r="A583" s="3" t="s">
        <v>102</v>
      </c>
      <c r="D583" s="22">
        <v>154625</v>
      </c>
      <c r="E583" s="15"/>
      <c r="F583" s="22">
        <f>6722+2682+12000</f>
        <v>21404</v>
      </c>
      <c r="G583" s="22"/>
      <c r="H583" s="22">
        <f>10015+6395+250</f>
        <v>16660</v>
      </c>
      <c r="I583" s="52"/>
      <c r="J583" s="22">
        <f>11283+12229+506+1</f>
        <v>24019</v>
      </c>
    </row>
    <row r="584" spans="1:10" ht="18" customHeight="1">
      <c r="A584" s="3" t="s">
        <v>103</v>
      </c>
      <c r="D584" s="25">
        <v>60000</v>
      </c>
      <c r="E584" s="16"/>
      <c r="F584" s="25">
        <v>375000</v>
      </c>
      <c r="G584" s="25"/>
      <c r="H584" s="25">
        <v>375000</v>
      </c>
      <c r="I584" s="53"/>
      <c r="J584" s="25">
        <v>375000</v>
      </c>
    </row>
    <row r="585" spans="1:10" ht="18" customHeight="1">
      <c r="A585" s="3" t="s">
        <v>221</v>
      </c>
      <c r="D585" s="25">
        <v>8</v>
      </c>
      <c r="E585" s="16"/>
      <c r="F585" s="25">
        <v>8</v>
      </c>
      <c r="G585" s="25"/>
      <c r="H585" s="25">
        <f>1354+6-926-1</f>
        <v>433</v>
      </c>
      <c r="I585" s="53"/>
      <c r="J585" s="25">
        <v>0</v>
      </c>
    </row>
    <row r="586" spans="1:10" ht="18" customHeight="1">
      <c r="A586" s="3" t="s">
        <v>104</v>
      </c>
      <c r="D586" s="29">
        <v>0</v>
      </c>
      <c r="E586" s="29"/>
      <c r="F586" s="29">
        <v>0</v>
      </c>
      <c r="G586" s="24"/>
      <c r="H586" s="28">
        <f>14518+6489</f>
        <v>21007</v>
      </c>
      <c r="I586" s="24"/>
      <c r="J586" s="29">
        <f>35000</f>
        <v>35000</v>
      </c>
    </row>
    <row r="587" spans="1:10" ht="18" customHeight="1">
      <c r="A587" s="3" t="s">
        <v>92</v>
      </c>
      <c r="D587" s="22">
        <f>SUM(D583:D586)</f>
        <v>214633</v>
      </c>
      <c r="E587" s="22"/>
      <c r="F587" s="22">
        <f>SUM(F583:F586)</f>
        <v>396412</v>
      </c>
      <c r="G587" s="22"/>
      <c r="H587" s="22">
        <f>SUM(H583:H586)</f>
        <v>413100</v>
      </c>
      <c r="I587" s="8"/>
      <c r="J587" s="22">
        <f>SUM(J583:J586)</f>
        <v>434019</v>
      </c>
    </row>
    <row r="588" spans="4:10" ht="9.75" customHeight="1">
      <c r="D588" s="1"/>
      <c r="E588" s="1"/>
      <c r="F588" s="1"/>
      <c r="G588" s="1"/>
      <c r="H588" s="1"/>
      <c r="I588" s="6"/>
      <c r="J588" s="1"/>
    </row>
    <row r="589" spans="1:10" ht="18" customHeight="1">
      <c r="A589" s="3" t="s">
        <v>107</v>
      </c>
      <c r="D589" s="1"/>
      <c r="E589" s="1"/>
      <c r="F589" s="1"/>
      <c r="G589" s="1"/>
      <c r="H589" s="1"/>
      <c r="I589" s="6"/>
      <c r="J589" s="1"/>
    </row>
    <row r="590" spans="1:10" ht="18" customHeight="1">
      <c r="A590" s="3" t="s">
        <v>103</v>
      </c>
      <c r="D590" s="25">
        <f>4389071+88989</f>
        <v>4478060</v>
      </c>
      <c r="E590" s="25"/>
      <c r="F590" s="25">
        <f>3443824</f>
        <v>3443824</v>
      </c>
      <c r="G590" s="25"/>
      <c r="H590" s="25">
        <f>3057891+4233115+13777</f>
        <v>7304783</v>
      </c>
      <c r="I590" s="24"/>
      <c r="J590" s="25">
        <f>5382950</f>
        <v>5382950</v>
      </c>
    </row>
    <row r="591" spans="1:10" ht="18" customHeight="1">
      <c r="A591" s="3" t="s">
        <v>221</v>
      </c>
      <c r="D591" s="25">
        <f>449062+1494+775+134308+13817+1</f>
        <v>599457</v>
      </c>
      <c r="E591" s="25"/>
      <c r="F591" s="25">
        <f>663237+73513+486+49681</f>
        <v>786917</v>
      </c>
      <c r="G591" s="25"/>
      <c r="H591" s="22">
        <f>401279-2967+831+127430+19603</f>
        <v>546176</v>
      </c>
      <c r="I591" s="24"/>
      <c r="J591" s="25">
        <f>457458+784+23524-1</f>
        <v>481765</v>
      </c>
    </row>
    <row r="592" spans="1:10" ht="18" customHeight="1">
      <c r="A592" s="3" t="s">
        <v>104</v>
      </c>
      <c r="D592" s="29">
        <v>0</v>
      </c>
      <c r="E592" s="25"/>
      <c r="F592" s="29">
        <v>0</v>
      </c>
      <c r="G592" s="24"/>
      <c r="H592" s="29">
        <v>0</v>
      </c>
      <c r="I592" s="24"/>
      <c r="J592" s="29">
        <v>0</v>
      </c>
    </row>
    <row r="593" spans="1:10" ht="18" customHeight="1">
      <c r="A593" s="3" t="s">
        <v>92</v>
      </c>
      <c r="D593" s="22">
        <f>SUM(D590:D592)</f>
        <v>5077517</v>
      </c>
      <c r="E593" s="22"/>
      <c r="F593" s="22">
        <f>SUM(F590:F592)</f>
        <v>4230741</v>
      </c>
      <c r="G593" s="22"/>
      <c r="H593" s="22">
        <f>SUM(H590:H592)</f>
        <v>7850959</v>
      </c>
      <c r="I593" s="8"/>
      <c r="J593" s="22">
        <f>SUM(J590:J592)</f>
        <v>5864715</v>
      </c>
    </row>
    <row r="594" spans="4:10" ht="9.75" customHeight="1">
      <c r="D594" s="1"/>
      <c r="E594" s="1"/>
      <c r="F594" s="1"/>
      <c r="G594" s="1"/>
      <c r="H594" s="1"/>
      <c r="I594" s="6"/>
      <c r="J594" s="1"/>
    </row>
    <row r="595" spans="1:10" ht="18" customHeight="1">
      <c r="A595" s="3" t="s">
        <v>108</v>
      </c>
      <c r="D595" s="59"/>
      <c r="E595" s="34"/>
      <c r="F595" s="34"/>
      <c r="G595" s="34"/>
      <c r="H595" s="34"/>
      <c r="I595" s="54"/>
      <c r="J595" s="34"/>
    </row>
    <row r="596" spans="1:10" ht="18" customHeight="1">
      <c r="A596" s="3" t="s">
        <v>103</v>
      </c>
      <c r="D596" s="29">
        <v>1080906</v>
      </c>
      <c r="E596" s="25"/>
      <c r="F596" s="29">
        <v>2000000</v>
      </c>
      <c r="G596" s="24"/>
      <c r="H596" s="29">
        <v>1378231</v>
      </c>
      <c r="I596" s="24"/>
      <c r="J596" s="29">
        <v>2000000</v>
      </c>
    </row>
    <row r="597" spans="1:10" ht="18" customHeight="1">
      <c r="A597" s="3" t="s">
        <v>92</v>
      </c>
      <c r="D597" s="22">
        <f>SUM(D595:D596)</f>
        <v>1080906</v>
      </c>
      <c r="E597" s="22"/>
      <c r="F597" s="22">
        <f>SUM(F595:F596)</f>
        <v>2000000</v>
      </c>
      <c r="G597" s="22"/>
      <c r="H597" s="22">
        <f>SUM(H595:H596)</f>
        <v>1378231</v>
      </c>
      <c r="I597" s="8"/>
      <c r="J597" s="22">
        <f>SUM(J595:J596)</f>
        <v>2000000</v>
      </c>
    </row>
    <row r="598" spans="4:10" ht="9.75" customHeight="1">
      <c r="D598" s="1"/>
      <c r="E598" s="1"/>
      <c r="F598" s="1"/>
      <c r="G598" s="1"/>
      <c r="H598" s="1"/>
      <c r="I598" s="6"/>
      <c r="J598" s="1"/>
    </row>
    <row r="599" spans="1:10" ht="18" customHeight="1">
      <c r="A599" s="3" t="s">
        <v>254</v>
      </c>
      <c r="D599" s="59"/>
      <c r="E599" s="34"/>
      <c r="F599" s="34"/>
      <c r="G599" s="34"/>
      <c r="H599" s="34"/>
      <c r="I599" s="54"/>
      <c r="J599" s="34"/>
    </row>
    <row r="600" spans="1:10" ht="18" customHeight="1">
      <c r="A600" s="3" t="s">
        <v>102</v>
      </c>
      <c r="D600" s="25">
        <v>207743</v>
      </c>
      <c r="E600" s="35"/>
      <c r="F600" s="35">
        <f>290174+26965</f>
        <v>317139</v>
      </c>
      <c r="G600" s="35"/>
      <c r="H600" s="35">
        <f>20917+204547+14572+1</f>
        <v>240037</v>
      </c>
      <c r="I600" s="71"/>
      <c r="J600" s="35">
        <f>24821+320474+20799</f>
        <v>366094</v>
      </c>
    </row>
    <row r="601" spans="1:10" ht="18" customHeight="1">
      <c r="A601" s="3" t="s">
        <v>221</v>
      </c>
      <c r="D601" s="25">
        <f>14417+3680</f>
        <v>18097</v>
      </c>
      <c r="E601" s="25"/>
      <c r="F601" s="25">
        <f>23773+14-1</f>
        <v>23786</v>
      </c>
      <c r="G601" s="25"/>
      <c r="H601" s="25">
        <f>14844+31+5883</f>
        <v>20758</v>
      </c>
      <c r="I601" s="24"/>
      <c r="J601" s="25">
        <f>16922+28</f>
        <v>16950</v>
      </c>
    </row>
    <row r="602" spans="1:10" ht="18" customHeight="1">
      <c r="A602" s="3" t="s">
        <v>104</v>
      </c>
      <c r="D602" s="28">
        <v>0</v>
      </c>
      <c r="E602" s="25"/>
      <c r="F602" s="28">
        <v>0</v>
      </c>
      <c r="G602" s="24"/>
      <c r="H602" s="28">
        <v>6074</v>
      </c>
      <c r="I602" s="24"/>
      <c r="J602" s="28">
        <v>0</v>
      </c>
    </row>
    <row r="603" spans="1:10" ht="18" customHeight="1">
      <c r="A603" s="3" t="s">
        <v>92</v>
      </c>
      <c r="D603" s="22">
        <f>SUM(D599:D602)</f>
        <v>225840</v>
      </c>
      <c r="E603" s="22"/>
      <c r="F603" s="22">
        <f>SUM(F599:F602)</f>
        <v>340925</v>
      </c>
      <c r="G603" s="22"/>
      <c r="H603" s="22">
        <f>SUM(H599:H602)</f>
        <v>266869</v>
      </c>
      <c r="I603" s="8"/>
      <c r="J603" s="22">
        <f>SUM(J599:J602)</f>
        <v>383044</v>
      </c>
    </row>
    <row r="604" spans="4:10" ht="9.75" customHeight="1">
      <c r="D604" s="1"/>
      <c r="E604" s="1"/>
      <c r="F604" s="1"/>
      <c r="G604" s="1"/>
      <c r="H604" s="1"/>
      <c r="I604" s="6"/>
      <c r="J604" s="1"/>
    </row>
    <row r="605" spans="1:10" ht="18" customHeight="1">
      <c r="A605" s="3" t="s">
        <v>256</v>
      </c>
      <c r="D605" s="34"/>
      <c r="E605" s="34"/>
      <c r="F605" s="34"/>
      <c r="G605" s="34"/>
      <c r="H605" s="34"/>
      <c r="I605" s="54"/>
      <c r="J605" s="34"/>
    </row>
    <row r="606" spans="1:10" ht="18" customHeight="1">
      <c r="A606" s="3" t="s">
        <v>102</v>
      </c>
      <c r="D606" s="25">
        <v>56600</v>
      </c>
      <c r="E606" s="25"/>
      <c r="F606" s="25">
        <v>0</v>
      </c>
      <c r="G606" s="25"/>
      <c r="H606" s="25">
        <f>3991+307</f>
        <v>4298</v>
      </c>
      <c r="I606" s="24"/>
      <c r="J606" s="25">
        <f>4260+320</f>
        <v>4580</v>
      </c>
    </row>
    <row r="607" spans="1:10" ht="18" customHeight="1">
      <c r="A607" s="3" t="s">
        <v>103</v>
      </c>
      <c r="D607" s="25">
        <v>100000</v>
      </c>
      <c r="E607" s="25"/>
      <c r="F607" s="25">
        <v>300000</v>
      </c>
      <c r="G607" s="25"/>
      <c r="H607" s="25">
        <v>300000</v>
      </c>
      <c r="I607" s="24"/>
      <c r="J607" s="25">
        <v>300000</v>
      </c>
    </row>
    <row r="608" spans="1:10" ht="18" customHeight="1">
      <c r="A608" s="3" t="s">
        <v>221</v>
      </c>
      <c r="D608" s="25">
        <v>0</v>
      </c>
      <c r="E608" s="25"/>
      <c r="F608" s="25">
        <v>0</v>
      </c>
      <c r="G608" s="25"/>
      <c r="H608" s="25">
        <f>440+2+236</f>
        <v>678</v>
      </c>
      <c r="I608" s="24"/>
      <c r="J608" s="25">
        <f>528+3-1</f>
        <v>530</v>
      </c>
    </row>
    <row r="609" spans="1:10" ht="18" customHeight="1">
      <c r="A609" s="3" t="s">
        <v>104</v>
      </c>
      <c r="D609" s="74">
        <v>0</v>
      </c>
      <c r="E609" s="1"/>
      <c r="F609" s="36">
        <v>0</v>
      </c>
      <c r="G609" s="24"/>
      <c r="H609" s="28">
        <v>0</v>
      </c>
      <c r="I609" s="6"/>
      <c r="J609" s="36">
        <v>0</v>
      </c>
    </row>
    <row r="610" spans="1:10" ht="18" customHeight="1">
      <c r="A610" s="3" t="s">
        <v>92</v>
      </c>
      <c r="D610" s="22">
        <f>SUM(D605:D609)</f>
        <v>156600</v>
      </c>
      <c r="E610" s="22"/>
      <c r="F610" s="22">
        <f>SUM(F605:F609)</f>
        <v>300000</v>
      </c>
      <c r="G610" s="22"/>
      <c r="H610" s="22">
        <f>SUM(H605:H609)</f>
        <v>304976</v>
      </c>
      <c r="I610" s="8"/>
      <c r="J610" s="22">
        <f>SUM(J605:J609)</f>
        <v>305110</v>
      </c>
    </row>
    <row r="611" spans="4:10" ht="9.75" customHeight="1">
      <c r="D611" s="1"/>
      <c r="E611" s="1"/>
      <c r="F611" s="1"/>
      <c r="G611" s="1"/>
      <c r="H611" s="1"/>
      <c r="I611" s="6"/>
      <c r="J611" s="1"/>
    </row>
    <row r="612" spans="1:10" ht="18" customHeight="1">
      <c r="A612" s="3" t="s">
        <v>257</v>
      </c>
      <c r="D612" s="34"/>
      <c r="E612" s="34"/>
      <c r="F612" s="34"/>
      <c r="G612" s="34"/>
      <c r="H612" s="34"/>
      <c r="I612" s="54"/>
      <c r="J612" s="34"/>
    </row>
    <row r="613" spans="1:10" ht="18" customHeight="1">
      <c r="A613" s="3" t="s">
        <v>102</v>
      </c>
      <c r="D613" s="25">
        <v>51252</v>
      </c>
      <c r="E613" s="25"/>
      <c r="F613" s="25">
        <v>40816</v>
      </c>
      <c r="G613" s="25"/>
      <c r="H613" s="25">
        <v>37194</v>
      </c>
      <c r="I613" s="24"/>
      <c r="J613" s="25">
        <v>45011</v>
      </c>
    </row>
    <row r="614" spans="1:10" ht="18" customHeight="1">
      <c r="A614" s="3" t="s">
        <v>103</v>
      </c>
      <c r="D614" s="25">
        <f>6069+1636</f>
        <v>7705</v>
      </c>
      <c r="E614" s="25"/>
      <c r="F614" s="24">
        <f>9526+6+1</f>
        <v>9533</v>
      </c>
      <c r="G614" s="6"/>
      <c r="H614" s="24">
        <f>5759+11+2139</f>
        <v>7909</v>
      </c>
      <c r="I614" s="24"/>
      <c r="J614" s="24">
        <f>6565+10</f>
        <v>6575</v>
      </c>
    </row>
    <row r="615" spans="1:10" ht="18" customHeight="1">
      <c r="A615" s="3" t="s">
        <v>221</v>
      </c>
      <c r="D615" s="25">
        <v>4412</v>
      </c>
      <c r="E615" s="25"/>
      <c r="F615" s="6">
        <v>4859</v>
      </c>
      <c r="G615" s="6"/>
      <c r="H615" s="6">
        <v>4336</v>
      </c>
      <c r="I615" s="24"/>
      <c r="J615" s="6">
        <v>4563</v>
      </c>
    </row>
    <row r="616" spans="1:10" ht="18" customHeight="1">
      <c r="A616" s="3" t="s">
        <v>104</v>
      </c>
      <c r="D616" s="28">
        <v>0</v>
      </c>
      <c r="E616" s="1"/>
      <c r="F616" s="36">
        <v>0</v>
      </c>
      <c r="G616" s="24"/>
      <c r="H616" s="28">
        <v>0</v>
      </c>
      <c r="I616" s="6"/>
      <c r="J616" s="36">
        <v>0</v>
      </c>
    </row>
    <row r="617" spans="1:10" ht="18" customHeight="1">
      <c r="A617" s="3" t="s">
        <v>92</v>
      </c>
      <c r="D617" s="22">
        <f>SUM(D612:D616)</f>
        <v>63369</v>
      </c>
      <c r="E617" s="22"/>
      <c r="F617" s="22">
        <f>SUM(F612:F616)</f>
        <v>55208</v>
      </c>
      <c r="G617" s="22"/>
      <c r="H617" s="22">
        <f>SUM(H612:H616)</f>
        <v>49439</v>
      </c>
      <c r="I617" s="8"/>
      <c r="J617" s="22">
        <f>SUM(J612:J616)</f>
        <v>56149</v>
      </c>
    </row>
    <row r="618" spans="4:10" ht="9.75" customHeight="1">
      <c r="D618" s="1"/>
      <c r="E618" s="1"/>
      <c r="F618" s="1"/>
      <c r="G618" s="1"/>
      <c r="H618" s="1"/>
      <c r="I618" s="6"/>
      <c r="J618" s="1"/>
    </row>
    <row r="619" spans="1:10" ht="18" customHeight="1">
      <c r="A619" s="3" t="s">
        <v>394</v>
      </c>
      <c r="D619" s="34"/>
      <c r="E619" s="34"/>
      <c r="F619" s="34"/>
      <c r="G619" s="34"/>
      <c r="H619" s="34"/>
      <c r="I619" s="54"/>
      <c r="J619" s="34"/>
    </row>
    <row r="620" spans="1:10" ht="18" customHeight="1">
      <c r="A620" s="3" t="s">
        <v>102</v>
      </c>
      <c r="D620" s="28">
        <v>438</v>
      </c>
      <c r="E620" s="1"/>
      <c r="F620" s="28">
        <v>576</v>
      </c>
      <c r="G620" s="24"/>
      <c r="H620" s="28">
        <v>1289</v>
      </c>
      <c r="I620" s="6"/>
      <c r="J620" s="28">
        <v>1770</v>
      </c>
    </row>
    <row r="621" spans="1:10" ht="18" customHeight="1">
      <c r="A621" s="3" t="s">
        <v>92</v>
      </c>
      <c r="D621" s="22">
        <f>SUM(D620)</f>
        <v>438</v>
      </c>
      <c r="E621" s="22"/>
      <c r="F621" s="22">
        <f>SUM(F620)</f>
        <v>576</v>
      </c>
      <c r="G621" s="22"/>
      <c r="H621" s="22">
        <f>SUM(H620)</f>
        <v>1289</v>
      </c>
      <c r="I621" s="8"/>
      <c r="J621" s="22">
        <f>SUM(J620)</f>
        <v>1770</v>
      </c>
    </row>
    <row r="622" spans="4:10" ht="9.75" customHeight="1">
      <c r="D622" s="1"/>
      <c r="E622" s="1"/>
      <c r="F622" s="1"/>
      <c r="G622" s="1"/>
      <c r="H622" s="1"/>
      <c r="I622" s="6"/>
      <c r="J622" s="1"/>
    </row>
    <row r="623" spans="1:10" ht="18" customHeight="1">
      <c r="A623" s="80" t="s">
        <v>0</v>
      </c>
      <c r="B623" s="80"/>
      <c r="C623" s="80"/>
      <c r="D623" s="80"/>
      <c r="E623" s="80"/>
      <c r="F623" s="80"/>
      <c r="G623" s="80"/>
      <c r="H623" s="80"/>
      <c r="I623" s="80"/>
      <c r="J623" s="80"/>
    </row>
    <row r="624" spans="1:10" ht="18" customHeight="1">
      <c r="A624" s="80" t="s">
        <v>429</v>
      </c>
      <c r="B624" s="80"/>
      <c r="C624" s="80"/>
      <c r="D624" s="80"/>
      <c r="E624" s="80"/>
      <c r="F624" s="80"/>
      <c r="G624" s="80"/>
      <c r="H624" s="80"/>
      <c r="I624" s="80"/>
      <c r="J624" s="80"/>
    </row>
    <row r="625" spans="1:10" ht="18" customHeight="1">
      <c r="A625" s="80" t="s">
        <v>420</v>
      </c>
      <c r="B625" s="80"/>
      <c r="C625" s="80"/>
      <c r="D625" s="80"/>
      <c r="E625" s="80"/>
      <c r="F625" s="80"/>
      <c r="G625" s="80"/>
      <c r="H625" s="80"/>
      <c r="I625" s="80"/>
      <c r="J625" s="80"/>
    </row>
    <row r="626" spans="1:10" ht="18" customHeight="1">
      <c r="A626" s="80" t="s">
        <v>150</v>
      </c>
      <c r="B626" s="80"/>
      <c r="C626" s="80"/>
      <c r="D626" s="80"/>
      <c r="E626" s="80"/>
      <c r="F626" s="80"/>
      <c r="G626" s="80"/>
      <c r="H626" s="80"/>
      <c r="I626" s="80"/>
      <c r="J626" s="80"/>
    </row>
    <row r="627" spans="1:10" ht="18" customHeight="1">
      <c r="A627" s="7" t="s">
        <v>13</v>
      </c>
      <c r="D627" s="2" t="s">
        <v>204</v>
      </c>
      <c r="F627" s="2" t="s">
        <v>52</v>
      </c>
      <c r="G627" s="2"/>
      <c r="H627" s="2" t="s">
        <v>204</v>
      </c>
      <c r="I627" s="4"/>
      <c r="J627" s="2" t="s">
        <v>53</v>
      </c>
    </row>
    <row r="628" spans="1:10" ht="18" customHeight="1">
      <c r="A628" s="7" t="s">
        <v>432</v>
      </c>
      <c r="D628" s="14" t="s">
        <v>368</v>
      </c>
      <c r="F628" s="14" t="s">
        <v>383</v>
      </c>
      <c r="G628" s="17"/>
      <c r="H628" s="18" t="s">
        <v>418</v>
      </c>
      <c r="I628" s="4"/>
      <c r="J628" s="14" t="s">
        <v>419</v>
      </c>
    </row>
    <row r="629" spans="1:10" ht="18" customHeight="1">
      <c r="A629" s="3" t="s">
        <v>258</v>
      </c>
      <c r="D629" s="34"/>
      <c r="E629" s="34"/>
      <c r="F629" s="34"/>
      <c r="G629" s="34"/>
      <c r="H629" s="34"/>
      <c r="I629" s="54"/>
      <c r="J629" s="34"/>
    </row>
    <row r="630" spans="1:10" ht="18" customHeight="1">
      <c r="A630" s="3" t="s">
        <v>102</v>
      </c>
      <c r="D630" s="22">
        <v>1407001</v>
      </c>
      <c r="E630" s="22"/>
      <c r="F630" s="22">
        <v>1452450</v>
      </c>
      <c r="G630" s="22"/>
      <c r="H630" s="22">
        <f>786774</f>
        <v>786774</v>
      </c>
      <c r="I630" s="8"/>
      <c r="J630" s="22">
        <v>1405422</v>
      </c>
    </row>
    <row r="631" spans="1:10" ht="18" customHeight="1">
      <c r="A631" s="3" t="s">
        <v>221</v>
      </c>
      <c r="D631" s="24">
        <f>98695+27250</f>
        <v>125945</v>
      </c>
      <c r="E631" s="6"/>
      <c r="F631" s="24">
        <f>140606+97</f>
        <v>140703</v>
      </c>
      <c r="G631" s="24"/>
      <c r="H631" s="24">
        <f>88468+169+34149</f>
        <v>122786</v>
      </c>
      <c r="I631" s="6"/>
      <c r="J631" s="24">
        <f>100854+147+1</f>
        <v>101002</v>
      </c>
    </row>
    <row r="632" spans="1:10" ht="18" customHeight="1">
      <c r="A632" s="3" t="s">
        <v>104</v>
      </c>
      <c r="D632" s="28">
        <v>0</v>
      </c>
      <c r="E632" s="1"/>
      <c r="F632" s="36">
        <v>0</v>
      </c>
      <c r="G632" s="6"/>
      <c r="H632" s="28">
        <v>0</v>
      </c>
      <c r="I632" s="6"/>
      <c r="J632" s="36">
        <v>0</v>
      </c>
    </row>
    <row r="633" spans="1:10" ht="18" customHeight="1">
      <c r="A633" s="3" t="s">
        <v>92</v>
      </c>
      <c r="D633" s="22">
        <f>SUM(D629:D632)</f>
        <v>1532946</v>
      </c>
      <c r="E633" s="22"/>
      <c r="F633" s="22">
        <f>SUM(F629:F632)</f>
        <v>1593153</v>
      </c>
      <c r="G633" s="22"/>
      <c r="H633" s="22">
        <f>SUM(H629:H632)</f>
        <v>909560</v>
      </c>
      <c r="I633" s="8"/>
      <c r="J633" s="22">
        <f>SUM(J629:J632)</f>
        <v>1506424</v>
      </c>
    </row>
    <row r="634" spans="4:10" ht="9.75" customHeight="1">
      <c r="D634" s="1"/>
      <c r="E634" s="1"/>
      <c r="F634" s="1"/>
      <c r="G634" s="1"/>
      <c r="H634" s="1"/>
      <c r="I634" s="6"/>
      <c r="J634" s="1"/>
    </row>
    <row r="635" spans="1:10" ht="18" customHeight="1">
      <c r="A635" s="3" t="s">
        <v>395</v>
      </c>
      <c r="D635" s="34"/>
      <c r="E635" s="34"/>
      <c r="F635" s="34"/>
      <c r="G635" s="34"/>
      <c r="H635" s="34"/>
      <c r="I635" s="54"/>
      <c r="J635" s="34"/>
    </row>
    <row r="636" spans="1:10" ht="18" customHeight="1">
      <c r="A636" s="3" t="s">
        <v>102</v>
      </c>
      <c r="D636" s="28">
        <v>2597</v>
      </c>
      <c r="E636" s="1"/>
      <c r="F636" s="28">
        <v>3294</v>
      </c>
      <c r="G636" s="24"/>
      <c r="H636" s="28">
        <v>7135</v>
      </c>
      <c r="I636" s="6"/>
      <c r="J636" s="28">
        <v>13131</v>
      </c>
    </row>
    <row r="637" spans="1:10" ht="18" customHeight="1">
      <c r="A637" s="3" t="s">
        <v>92</v>
      </c>
      <c r="D637" s="22">
        <f>SUM(D636)</f>
        <v>2597</v>
      </c>
      <c r="E637" s="22"/>
      <c r="F637" s="22">
        <f>SUM(F636)</f>
        <v>3294</v>
      </c>
      <c r="G637" s="22"/>
      <c r="H637" s="22">
        <f>SUM(H636)</f>
        <v>7135</v>
      </c>
      <c r="I637" s="8"/>
      <c r="J637" s="22">
        <f>SUM(J636)</f>
        <v>13131</v>
      </c>
    </row>
    <row r="638" spans="4:10" ht="9.75" customHeight="1">
      <c r="D638" s="1"/>
      <c r="E638" s="1"/>
      <c r="F638" s="1"/>
      <c r="G638" s="1"/>
      <c r="H638" s="1"/>
      <c r="I638" s="6"/>
      <c r="J638" s="1"/>
    </row>
    <row r="639" spans="1:10" ht="18" customHeight="1">
      <c r="A639" s="3" t="s">
        <v>255</v>
      </c>
      <c r="D639" s="34"/>
      <c r="E639" s="34"/>
      <c r="F639" s="34"/>
      <c r="G639" s="34"/>
      <c r="H639" s="34"/>
      <c r="I639" s="54"/>
      <c r="J639" s="34"/>
    </row>
    <row r="640" spans="1:10" ht="18" customHeight="1">
      <c r="A640" s="3" t="s">
        <v>102</v>
      </c>
      <c r="D640" s="6">
        <v>59212</v>
      </c>
      <c r="E640" s="35"/>
      <c r="F640" s="25">
        <v>60180</v>
      </c>
      <c r="G640" s="25"/>
      <c r="H640" s="25">
        <f>2121+45463</f>
        <v>47584</v>
      </c>
      <c r="I640" s="71"/>
      <c r="J640" s="25">
        <f>2270+62436</f>
        <v>64706</v>
      </c>
    </row>
    <row r="641" spans="1:10" ht="18" customHeight="1">
      <c r="A641" s="3" t="s">
        <v>221</v>
      </c>
      <c r="D641" s="23">
        <f>7390+1924</f>
        <v>9314</v>
      </c>
      <c r="E641" s="72"/>
      <c r="F641" s="28">
        <f>11447+5</f>
        <v>11452</v>
      </c>
      <c r="G641" s="24"/>
      <c r="H641" s="28">
        <f>7437+14+3209</f>
        <v>10660</v>
      </c>
      <c r="I641" s="73"/>
      <c r="J641" s="28">
        <f>8479+9</f>
        <v>8488</v>
      </c>
    </row>
    <row r="642" spans="1:10" ht="18" customHeight="1">
      <c r="A642" s="3" t="s">
        <v>92</v>
      </c>
      <c r="D642" s="22">
        <f>SUM(D639:D641)</f>
        <v>68526</v>
      </c>
      <c r="E642" s="22"/>
      <c r="F642" s="22">
        <f>SUM(F639:F641)</f>
        <v>71632</v>
      </c>
      <c r="G642" s="22"/>
      <c r="H642" s="22">
        <f>SUM(H639:H641)</f>
        <v>58244</v>
      </c>
      <c r="I642" s="8"/>
      <c r="J642" s="22">
        <f>SUM(J639:J641)</f>
        <v>73194</v>
      </c>
    </row>
    <row r="643" spans="4:10" ht="9.75" customHeight="1">
      <c r="D643" s="1"/>
      <c r="E643" s="1"/>
      <c r="F643" s="1"/>
      <c r="G643" s="1"/>
      <c r="H643" s="1"/>
      <c r="I643" s="6"/>
      <c r="J643" s="1"/>
    </row>
    <row r="644" spans="1:10" ht="18" customHeight="1">
      <c r="A644" s="3" t="s">
        <v>186</v>
      </c>
      <c r="D644" s="34"/>
      <c r="E644" s="34"/>
      <c r="F644" s="34"/>
      <c r="G644" s="34"/>
      <c r="H644" s="34"/>
      <c r="I644" s="54"/>
      <c r="J644" s="34"/>
    </row>
    <row r="645" spans="1:10" ht="18" customHeight="1">
      <c r="A645" s="3" t="s">
        <v>102</v>
      </c>
      <c r="D645" s="25">
        <v>60134</v>
      </c>
      <c r="E645" s="25"/>
      <c r="F645" s="25">
        <v>0</v>
      </c>
      <c r="G645" s="25"/>
      <c r="H645" s="25">
        <v>0</v>
      </c>
      <c r="I645" s="24"/>
      <c r="J645" s="25">
        <v>0</v>
      </c>
    </row>
    <row r="646" spans="1:10" ht="18" customHeight="1">
      <c r="A646" s="3" t="s">
        <v>221</v>
      </c>
      <c r="D646" s="25">
        <f>12932+3751</f>
        <v>16683</v>
      </c>
      <c r="E646" s="25"/>
      <c r="F646" s="25">
        <f>18144+9</f>
        <v>18153</v>
      </c>
      <c r="G646" s="25"/>
      <c r="H646" s="25">
        <v>11825</v>
      </c>
      <c r="I646" s="24"/>
      <c r="J646" s="25">
        <v>10620</v>
      </c>
    </row>
    <row r="647" spans="1:10" ht="18" customHeight="1">
      <c r="A647" s="3" t="s">
        <v>104</v>
      </c>
      <c r="D647" s="28">
        <v>0</v>
      </c>
      <c r="E647" s="26"/>
      <c r="F647" s="36">
        <v>0</v>
      </c>
      <c r="G647" s="27"/>
      <c r="H647" s="28">
        <v>0</v>
      </c>
      <c r="I647" s="27"/>
      <c r="J647" s="36">
        <v>0</v>
      </c>
    </row>
    <row r="648" spans="1:10" ht="18" customHeight="1">
      <c r="A648" s="3" t="s">
        <v>92</v>
      </c>
      <c r="D648" s="22">
        <f>SUM(D644:D647)</f>
        <v>76817</v>
      </c>
      <c r="E648" s="22"/>
      <c r="F648" s="22">
        <f>SUM(F644:F647)</f>
        <v>18153</v>
      </c>
      <c r="G648" s="22"/>
      <c r="H648" s="22">
        <f>SUM(H644:H647)</f>
        <v>11825</v>
      </c>
      <c r="I648" s="8"/>
      <c r="J648" s="22">
        <f>SUM(J644:J647)</f>
        <v>10620</v>
      </c>
    </row>
    <row r="649" spans="4:10" ht="9.75" customHeight="1">
      <c r="D649" s="1"/>
      <c r="E649" s="1"/>
      <c r="F649" s="1"/>
      <c r="G649" s="1"/>
      <c r="H649" s="1"/>
      <c r="I649" s="6"/>
      <c r="J649" s="1"/>
    </row>
    <row r="650" spans="1:10" ht="18" customHeight="1">
      <c r="A650" s="3" t="s">
        <v>259</v>
      </c>
      <c r="D650" s="34"/>
      <c r="E650" s="34"/>
      <c r="F650" s="34"/>
      <c r="G650" s="34"/>
      <c r="H650" s="34"/>
      <c r="I650" s="54"/>
      <c r="J650" s="34"/>
    </row>
    <row r="651" spans="1:10" ht="18" customHeight="1">
      <c r="A651" s="3" t="s">
        <v>102</v>
      </c>
      <c r="D651" s="24">
        <v>11266</v>
      </c>
      <c r="E651" s="25"/>
      <c r="F651" s="25">
        <v>14772</v>
      </c>
      <c r="G651" s="25"/>
      <c r="H651" s="25">
        <v>2407</v>
      </c>
      <c r="I651" s="24"/>
      <c r="J651" s="25">
        <v>2574</v>
      </c>
    </row>
    <row r="652" spans="1:10" ht="18" customHeight="1">
      <c r="A652" s="3" t="s">
        <v>221</v>
      </c>
      <c r="D652" s="6">
        <f>719+178</f>
        <v>897</v>
      </c>
      <c r="E652" s="25"/>
      <c r="F652" s="25">
        <v>980</v>
      </c>
      <c r="G652" s="25"/>
      <c r="H652" s="25">
        <f>187+133</f>
        <v>320</v>
      </c>
      <c r="I652" s="24"/>
      <c r="J652" s="25">
        <v>0</v>
      </c>
    </row>
    <row r="653" spans="1:10" ht="18" customHeight="1">
      <c r="A653" s="3" t="s">
        <v>104</v>
      </c>
      <c r="D653" s="36">
        <v>0</v>
      </c>
      <c r="E653" s="26"/>
      <c r="F653" s="36">
        <v>0</v>
      </c>
      <c r="G653" s="27"/>
      <c r="H653" s="28">
        <v>0</v>
      </c>
      <c r="I653" s="27"/>
      <c r="J653" s="36">
        <v>0</v>
      </c>
    </row>
    <row r="654" spans="1:10" ht="18" customHeight="1">
      <c r="A654" s="3" t="s">
        <v>92</v>
      </c>
      <c r="D654" s="22">
        <f>SUM(D650:D653)</f>
        <v>12163</v>
      </c>
      <c r="E654" s="22"/>
      <c r="F654" s="22">
        <f>SUM(F650:F653)</f>
        <v>15752</v>
      </c>
      <c r="G654" s="22"/>
      <c r="H654" s="22">
        <f>SUM(H650:H653)</f>
        <v>2727</v>
      </c>
      <c r="I654" s="8"/>
      <c r="J654" s="22">
        <f>SUM(J650:J653)</f>
        <v>2574</v>
      </c>
    </row>
    <row r="655" spans="4:10" ht="9.75" customHeight="1">
      <c r="D655" s="1"/>
      <c r="E655" s="1"/>
      <c r="F655" s="1"/>
      <c r="G655" s="1"/>
      <c r="H655" s="1"/>
      <c r="I655" s="6"/>
      <c r="J655" s="1"/>
    </row>
    <row r="656" spans="1:10" ht="18" customHeight="1">
      <c r="A656" s="3" t="s">
        <v>242</v>
      </c>
      <c r="D656" s="34"/>
      <c r="E656" s="34"/>
      <c r="F656" s="34"/>
      <c r="G656" s="34"/>
      <c r="H656" s="34"/>
      <c r="I656" s="54"/>
      <c r="J656" s="34"/>
    </row>
    <row r="657" spans="1:10" ht="18" customHeight="1">
      <c r="A657" s="3" t="s">
        <v>102</v>
      </c>
      <c r="D657" s="25">
        <v>385813</v>
      </c>
      <c r="E657" s="25"/>
      <c r="F657" s="25">
        <v>699078</v>
      </c>
      <c r="G657" s="25"/>
      <c r="H657" s="25">
        <v>713206</v>
      </c>
      <c r="I657" s="24"/>
      <c r="J657" s="25">
        <v>903771</v>
      </c>
    </row>
    <row r="658" spans="1:10" ht="18" customHeight="1">
      <c r="A658" s="3" t="s">
        <v>221</v>
      </c>
      <c r="D658" s="25">
        <f>12301+3364</f>
        <v>15665</v>
      </c>
      <c r="E658" s="25"/>
      <c r="F658" s="25">
        <f>18+12764+1</f>
        <v>12783</v>
      </c>
      <c r="G658" s="25"/>
      <c r="H658" s="25">
        <f>13354+61+5087</f>
        <v>18502</v>
      </c>
      <c r="I658" s="24"/>
      <c r="J658" s="25">
        <f>15224+74-1</f>
        <v>15297</v>
      </c>
    </row>
    <row r="659" spans="1:10" ht="18" customHeight="1">
      <c r="A659" s="3" t="s">
        <v>104</v>
      </c>
      <c r="D659" s="28">
        <v>7374</v>
      </c>
      <c r="E659" s="1"/>
      <c r="F659" s="28">
        <v>9379</v>
      </c>
      <c r="G659" s="6"/>
      <c r="H659" s="28">
        <v>3380</v>
      </c>
      <c r="I659" s="6"/>
      <c r="J659" s="28">
        <v>4035</v>
      </c>
    </row>
    <row r="660" spans="1:10" ht="18" customHeight="1">
      <c r="A660" s="3" t="s">
        <v>92</v>
      </c>
      <c r="D660" s="22">
        <f>SUM(D656:D659)</f>
        <v>408852</v>
      </c>
      <c r="E660" s="22"/>
      <c r="F660" s="22">
        <f>SUM(F656:F659)</f>
        <v>721240</v>
      </c>
      <c r="G660" s="22"/>
      <c r="H660" s="22">
        <f>SUM(H656:H659)</f>
        <v>735088</v>
      </c>
      <c r="I660" s="8"/>
      <c r="J660" s="22">
        <f>SUM(J656:J659)</f>
        <v>923103</v>
      </c>
    </row>
    <row r="661" spans="4:10" ht="9.75" customHeight="1">
      <c r="D661" s="1"/>
      <c r="E661" s="1"/>
      <c r="F661" s="1"/>
      <c r="G661" s="1"/>
      <c r="H661" s="1"/>
      <c r="I661" s="6"/>
      <c r="J661" s="1"/>
    </row>
    <row r="662" spans="1:10" ht="18" customHeight="1">
      <c r="A662" s="3" t="s">
        <v>260</v>
      </c>
      <c r="D662" s="37"/>
      <c r="E662" s="37"/>
      <c r="F662" s="37"/>
      <c r="G662" s="37"/>
      <c r="H662" s="37"/>
      <c r="I662" s="75"/>
      <c r="J662" s="37"/>
    </row>
    <row r="663" spans="1:10" ht="18" customHeight="1">
      <c r="A663" s="3" t="s">
        <v>221</v>
      </c>
      <c r="D663" s="25">
        <f>722+200</f>
        <v>922</v>
      </c>
      <c r="E663" s="25"/>
      <c r="F663" s="25">
        <f>740</f>
        <v>740</v>
      </c>
      <c r="G663" s="25"/>
      <c r="H663" s="25">
        <f>671+1+261</f>
        <v>933</v>
      </c>
      <c r="I663" s="24"/>
      <c r="J663" s="25">
        <v>766</v>
      </c>
    </row>
    <row r="664" spans="1:10" ht="18" customHeight="1">
      <c r="A664" s="3" t="s">
        <v>104</v>
      </c>
      <c r="D664" s="29">
        <v>20352</v>
      </c>
      <c r="E664" s="25"/>
      <c r="F664" s="29">
        <v>34208</v>
      </c>
      <c r="G664" s="24"/>
      <c r="H664" s="29">
        <v>13223</v>
      </c>
      <c r="I664" s="24"/>
      <c r="J664" s="29">
        <v>20304</v>
      </c>
    </row>
    <row r="665" spans="1:10" ht="18" customHeight="1">
      <c r="A665" s="3" t="s">
        <v>92</v>
      </c>
      <c r="D665" s="22">
        <f>SUM(D663:D664)</f>
        <v>21274</v>
      </c>
      <c r="E665" s="22"/>
      <c r="F665" s="22">
        <f>SUM(F663:F664)</f>
        <v>34948</v>
      </c>
      <c r="G665" s="22"/>
      <c r="H665" s="22">
        <f>SUM(H663:H664)</f>
        <v>14156</v>
      </c>
      <c r="I665" s="8"/>
      <c r="J665" s="22">
        <f>SUM(J663:J664)</f>
        <v>21070</v>
      </c>
    </row>
    <row r="666" spans="4:10" ht="9.75" customHeight="1">
      <c r="D666" s="1"/>
      <c r="E666" s="1"/>
      <c r="F666" s="1"/>
      <c r="G666" s="1"/>
      <c r="H666" s="1"/>
      <c r="I666" s="6"/>
      <c r="J666" s="1"/>
    </row>
    <row r="667" spans="1:10" ht="18" customHeight="1">
      <c r="A667" s="3" t="s">
        <v>261</v>
      </c>
      <c r="D667" s="34"/>
      <c r="E667" s="34"/>
      <c r="F667" s="34"/>
      <c r="G667" s="34"/>
      <c r="H667" s="34"/>
      <c r="I667" s="54"/>
      <c r="J667" s="34"/>
    </row>
    <row r="668" spans="1:10" ht="18" customHeight="1">
      <c r="A668" s="3" t="s">
        <v>102</v>
      </c>
      <c r="D668" s="25">
        <v>39474</v>
      </c>
      <c r="E668" s="25"/>
      <c r="F668" s="25">
        <v>46706</v>
      </c>
      <c r="G668" s="25"/>
      <c r="H668" s="25">
        <v>37982</v>
      </c>
      <c r="I668" s="24"/>
      <c r="J668" s="25">
        <f>18667+38-1</f>
        <v>18704</v>
      </c>
    </row>
    <row r="669" spans="1:10" ht="18" customHeight="1">
      <c r="A669" s="3" t="s">
        <v>221</v>
      </c>
      <c r="D669" s="25">
        <f>19003+5270</f>
        <v>24273</v>
      </c>
      <c r="E669" s="25"/>
      <c r="F669" s="25">
        <f>26648+19-1</f>
        <v>26666</v>
      </c>
      <c r="G669" s="25"/>
      <c r="H669" s="25">
        <f>16374+31+6170</f>
        <v>22575</v>
      </c>
      <c r="I669" s="24"/>
      <c r="J669" s="25">
        <v>37504</v>
      </c>
    </row>
    <row r="670" spans="1:10" ht="18" customHeight="1">
      <c r="A670" s="3" t="s">
        <v>104</v>
      </c>
      <c r="D670" s="29">
        <v>0</v>
      </c>
      <c r="E670" s="25"/>
      <c r="F670" s="29">
        <v>0</v>
      </c>
      <c r="G670" s="24"/>
      <c r="H670" s="29">
        <v>0</v>
      </c>
      <c r="I670" s="24"/>
      <c r="J670" s="29">
        <v>0</v>
      </c>
    </row>
    <row r="671" spans="1:10" ht="18" customHeight="1">
      <c r="A671" s="3" t="s">
        <v>92</v>
      </c>
      <c r="D671" s="22">
        <f>SUM(D667:D670)</f>
        <v>63747</v>
      </c>
      <c r="E671" s="22"/>
      <c r="F671" s="22">
        <f>SUM(F667:F670)</f>
        <v>73372</v>
      </c>
      <c r="G671" s="22"/>
      <c r="H671" s="22">
        <f>SUM(H667:H670)</f>
        <v>60557</v>
      </c>
      <c r="I671" s="8"/>
      <c r="J671" s="22">
        <f>SUM(J667:J670)</f>
        <v>56208</v>
      </c>
    </row>
    <row r="672" spans="1:10" ht="18" customHeight="1">
      <c r="A672" s="80" t="s">
        <v>0</v>
      </c>
      <c r="B672" s="80"/>
      <c r="C672" s="80"/>
      <c r="D672" s="80"/>
      <c r="E672" s="80"/>
      <c r="F672" s="80"/>
      <c r="G672" s="80"/>
      <c r="H672" s="80"/>
      <c r="I672" s="80"/>
      <c r="J672" s="80"/>
    </row>
    <row r="673" spans="1:10" ht="18" customHeight="1">
      <c r="A673" s="80" t="s">
        <v>429</v>
      </c>
      <c r="B673" s="80"/>
      <c r="C673" s="80"/>
      <c r="D673" s="80"/>
      <c r="E673" s="80"/>
      <c r="F673" s="80"/>
      <c r="G673" s="80"/>
      <c r="H673" s="80"/>
      <c r="I673" s="80"/>
      <c r="J673" s="80"/>
    </row>
    <row r="674" spans="1:10" ht="18" customHeight="1">
      <c r="A674" s="80" t="s">
        <v>420</v>
      </c>
      <c r="B674" s="80"/>
      <c r="C674" s="80"/>
      <c r="D674" s="80"/>
      <c r="E674" s="80"/>
      <c r="F674" s="80"/>
      <c r="G674" s="80"/>
      <c r="H674" s="80"/>
      <c r="I674" s="80"/>
      <c r="J674" s="80"/>
    </row>
    <row r="675" spans="1:10" ht="18" customHeight="1">
      <c r="A675" s="80" t="s">
        <v>150</v>
      </c>
      <c r="B675" s="80"/>
      <c r="C675" s="80"/>
      <c r="D675" s="80"/>
      <c r="E675" s="80"/>
      <c r="F675" s="80"/>
      <c r="G675" s="80"/>
      <c r="H675" s="80"/>
      <c r="I675" s="80"/>
      <c r="J675" s="80"/>
    </row>
    <row r="676" spans="1:10" ht="18" customHeight="1">
      <c r="A676" s="7" t="s">
        <v>13</v>
      </c>
      <c r="D676" s="2" t="s">
        <v>204</v>
      </c>
      <c r="F676" s="2" t="s">
        <v>52</v>
      </c>
      <c r="G676" s="2"/>
      <c r="H676" s="2" t="s">
        <v>204</v>
      </c>
      <c r="I676" s="4"/>
      <c r="J676" s="2" t="s">
        <v>53</v>
      </c>
    </row>
    <row r="677" spans="1:10" ht="18" customHeight="1">
      <c r="A677" s="7" t="s">
        <v>432</v>
      </c>
      <c r="D677" s="14" t="s">
        <v>368</v>
      </c>
      <c r="F677" s="14" t="s">
        <v>383</v>
      </c>
      <c r="G677" s="17"/>
      <c r="H677" s="18" t="s">
        <v>418</v>
      </c>
      <c r="I677" s="4"/>
      <c r="J677" s="14" t="s">
        <v>419</v>
      </c>
    </row>
    <row r="678" spans="1:10" ht="18" customHeight="1">
      <c r="A678" s="3" t="s">
        <v>109</v>
      </c>
      <c r="D678" s="1"/>
      <c r="E678" s="1"/>
      <c r="F678" s="1"/>
      <c r="G678" s="1"/>
      <c r="H678" s="1"/>
      <c r="I678" s="6"/>
      <c r="J678" s="1"/>
    </row>
    <row r="679" spans="1:10" ht="18" customHeight="1">
      <c r="A679" s="3" t="s">
        <v>102</v>
      </c>
      <c r="D679" s="22">
        <v>719995</v>
      </c>
      <c r="E679" s="22"/>
      <c r="F679" s="22">
        <f>1179720</f>
        <v>1179720</v>
      </c>
      <c r="G679" s="22"/>
      <c r="H679" s="22">
        <f>9241+827762</f>
        <v>837003</v>
      </c>
      <c r="I679" s="8"/>
      <c r="J679" s="22">
        <f>9730+1114720</f>
        <v>1124450</v>
      </c>
    </row>
    <row r="680" spans="1:10" ht="18" customHeight="1">
      <c r="A680" s="3" t="s">
        <v>221</v>
      </c>
      <c r="D680" s="6">
        <f>12508+3017</f>
        <v>15525</v>
      </c>
      <c r="E680" s="6"/>
      <c r="F680" s="6">
        <f>15991+11</f>
        <v>16002</v>
      </c>
      <c r="G680" s="6"/>
      <c r="H680" s="6">
        <f>14555+35+5228</f>
        <v>19818</v>
      </c>
      <c r="I680" s="6"/>
      <c r="J680" s="6">
        <f>16593+42</f>
        <v>16635</v>
      </c>
    </row>
    <row r="681" spans="1:10" ht="18" customHeight="1">
      <c r="A681" s="3" t="s">
        <v>104</v>
      </c>
      <c r="D681" s="29">
        <v>0</v>
      </c>
      <c r="E681" s="25"/>
      <c r="F681" s="29">
        <v>0</v>
      </c>
      <c r="G681" s="6"/>
      <c r="H681" s="29">
        <v>0</v>
      </c>
      <c r="I681" s="24"/>
      <c r="J681" s="29">
        <v>0</v>
      </c>
    </row>
    <row r="682" spans="1:10" ht="18" customHeight="1">
      <c r="A682" s="3" t="s">
        <v>92</v>
      </c>
      <c r="D682" s="22">
        <f>SUM(D678:D681)</f>
        <v>735520</v>
      </c>
      <c r="E682" s="22"/>
      <c r="F682" s="22">
        <f>SUM(F678:F681)</f>
        <v>1195722</v>
      </c>
      <c r="G682" s="22"/>
      <c r="H682" s="22">
        <f>SUM(H678:H681)</f>
        <v>856821</v>
      </c>
      <c r="I682" s="8"/>
      <c r="J682" s="22">
        <f>SUM(J678:J681)</f>
        <v>1141085</v>
      </c>
    </row>
    <row r="683" spans="4:10" ht="9.75" customHeight="1">
      <c r="D683" s="1"/>
      <c r="E683" s="1"/>
      <c r="F683" s="1"/>
      <c r="G683" s="1"/>
      <c r="H683" s="1"/>
      <c r="I683" s="6"/>
      <c r="J683" s="1"/>
    </row>
    <row r="684" spans="1:9" ht="18" customHeight="1">
      <c r="A684" s="3" t="s">
        <v>110</v>
      </c>
      <c r="D684" s="1"/>
      <c r="E684" s="1"/>
      <c r="I684" s="6"/>
    </row>
    <row r="685" spans="1:10" ht="18" customHeight="1">
      <c r="A685" s="3" t="s">
        <v>102</v>
      </c>
      <c r="D685" s="25">
        <v>363972</v>
      </c>
      <c r="E685" s="25"/>
      <c r="F685" s="25">
        <f>302288+23197+19114-1</f>
        <v>344598</v>
      </c>
      <c r="G685" s="25"/>
      <c r="H685" s="25">
        <f>414459+41467+238715+17195-1</f>
        <v>711835</v>
      </c>
      <c r="I685" s="24"/>
      <c r="J685" s="25">
        <f>510258+51253+60000+21419+1</f>
        <v>642931</v>
      </c>
    </row>
    <row r="686" spans="1:10" ht="18" customHeight="1">
      <c r="A686" s="3" t="s">
        <v>221</v>
      </c>
      <c r="D686" s="25">
        <f>17004+4426</f>
        <v>21430</v>
      </c>
      <c r="E686" s="25"/>
      <c r="F686" s="25">
        <f>25759+29</f>
        <v>25788</v>
      </c>
      <c r="G686" s="25"/>
      <c r="H686" s="25">
        <f>19231+43+6698</f>
        <v>25972</v>
      </c>
      <c r="I686" s="24"/>
      <c r="J686" s="25">
        <f>23539+52</f>
        <v>23591</v>
      </c>
    </row>
    <row r="687" spans="1:10" ht="18" customHeight="1">
      <c r="A687" s="3" t="s">
        <v>104</v>
      </c>
      <c r="D687" s="29">
        <v>2541</v>
      </c>
      <c r="E687" s="25"/>
      <c r="F687" s="29">
        <v>0</v>
      </c>
      <c r="G687" s="6"/>
      <c r="H687" s="29">
        <v>41</v>
      </c>
      <c r="I687" s="24"/>
      <c r="J687" s="29">
        <v>35</v>
      </c>
    </row>
    <row r="688" spans="1:10" ht="18" customHeight="1">
      <c r="A688" s="3" t="s">
        <v>92</v>
      </c>
      <c r="D688" s="22">
        <f>SUM(D684:D687)</f>
        <v>387943</v>
      </c>
      <c r="E688" s="22"/>
      <c r="F688" s="22">
        <f>SUM(F684:F687)</f>
        <v>370386</v>
      </c>
      <c r="G688" s="22"/>
      <c r="H688" s="22">
        <f>SUM(H684:H687)</f>
        <v>737848</v>
      </c>
      <c r="I688" s="8"/>
      <c r="J688" s="22">
        <f>SUM(J684:J687)</f>
        <v>666557</v>
      </c>
    </row>
    <row r="689" spans="4:10" ht="9.75" customHeight="1">
      <c r="D689" s="1"/>
      <c r="E689" s="1"/>
      <c r="F689" s="1"/>
      <c r="G689" s="1"/>
      <c r="H689" s="1"/>
      <c r="I689" s="6"/>
      <c r="J689" s="1"/>
    </row>
    <row r="690" spans="1:10" ht="18" customHeight="1">
      <c r="A690" s="3" t="s">
        <v>111</v>
      </c>
      <c r="D690" s="34"/>
      <c r="E690" s="34"/>
      <c r="F690" s="34"/>
      <c r="G690" s="34"/>
      <c r="H690" s="34"/>
      <c r="I690" s="54"/>
      <c r="J690" s="34"/>
    </row>
    <row r="691" spans="1:10" ht="18" customHeight="1">
      <c r="A691" s="3" t="s">
        <v>102</v>
      </c>
      <c r="D691" s="25">
        <v>101302</v>
      </c>
      <c r="E691" s="25"/>
      <c r="F691" s="25">
        <v>113181</v>
      </c>
      <c r="G691" s="25"/>
      <c r="H691" s="25">
        <f>64097</f>
        <v>64097</v>
      </c>
      <c r="I691" s="24"/>
      <c r="J691" s="25">
        <v>88958</v>
      </c>
    </row>
    <row r="692" spans="1:10" ht="18" customHeight="1">
      <c r="A692" s="3" t="s">
        <v>221</v>
      </c>
      <c r="D692" s="25">
        <f>997+52</f>
        <v>1049</v>
      </c>
      <c r="E692" s="25"/>
      <c r="F692" s="25">
        <f>3044+33</f>
        <v>3077</v>
      </c>
      <c r="G692" s="25"/>
      <c r="H692" s="25">
        <f>2611+6+1087+1</f>
        <v>3705</v>
      </c>
      <c r="I692" s="24"/>
      <c r="J692" s="25">
        <f>2977+7</f>
        <v>2984</v>
      </c>
    </row>
    <row r="693" spans="1:10" ht="18" customHeight="1">
      <c r="A693" s="3" t="s">
        <v>104</v>
      </c>
      <c r="D693" s="29">
        <v>0</v>
      </c>
      <c r="E693" s="25"/>
      <c r="F693" s="29">
        <v>0</v>
      </c>
      <c r="G693" s="6"/>
      <c r="H693" s="29">
        <v>0</v>
      </c>
      <c r="I693" s="24"/>
      <c r="J693" s="29">
        <v>0</v>
      </c>
    </row>
    <row r="694" spans="1:10" ht="18" customHeight="1">
      <c r="A694" s="3" t="s">
        <v>92</v>
      </c>
      <c r="D694" s="22">
        <f>SUM(D690:D693)</f>
        <v>102351</v>
      </c>
      <c r="E694" s="22"/>
      <c r="F694" s="22">
        <f>SUM(F690:F693)</f>
        <v>116258</v>
      </c>
      <c r="G694" s="22"/>
      <c r="H694" s="22">
        <f>SUM(H690:H693)</f>
        <v>67802</v>
      </c>
      <c r="I694" s="8"/>
      <c r="J694" s="22">
        <f>SUM(J690:J693)</f>
        <v>91942</v>
      </c>
    </row>
    <row r="695" spans="4:10" ht="9.75" customHeight="1">
      <c r="D695" s="1"/>
      <c r="E695" s="1"/>
      <c r="F695" s="1"/>
      <c r="G695" s="1"/>
      <c r="H695" s="1"/>
      <c r="I695" s="6"/>
      <c r="J695" s="1"/>
    </row>
    <row r="696" spans="1:10" ht="18" customHeight="1">
      <c r="A696" s="3" t="s">
        <v>112</v>
      </c>
      <c r="D696" s="25"/>
      <c r="E696" s="25"/>
      <c r="F696" s="25"/>
      <c r="G696" s="25"/>
      <c r="H696" s="25"/>
      <c r="I696" s="24"/>
      <c r="J696" s="25"/>
    </row>
    <row r="697" spans="1:10" ht="18" customHeight="1">
      <c r="A697" s="3" t="s">
        <v>102</v>
      </c>
      <c r="D697" s="25">
        <v>392965</v>
      </c>
      <c r="E697" s="25"/>
      <c r="F697" s="25">
        <f>149157+7200+290942</f>
        <v>447299</v>
      </c>
      <c r="G697" s="25"/>
      <c r="H697" s="25">
        <f>38195+13830+8419+138888</f>
        <v>199332</v>
      </c>
      <c r="I697" s="24"/>
      <c r="J697" s="25">
        <f>45827+29431+8873+179793</f>
        <v>263924</v>
      </c>
    </row>
    <row r="698" spans="1:10" ht="18" customHeight="1">
      <c r="A698" s="3" t="s">
        <v>221</v>
      </c>
      <c r="D698" s="25">
        <f>58483+16078</f>
        <v>74561</v>
      </c>
      <c r="E698" s="25"/>
      <c r="F698" s="25">
        <f>95553+57</f>
        <v>95610</v>
      </c>
      <c r="G698" s="25"/>
      <c r="H698" s="25">
        <f>54769+20775+105</f>
        <v>75649</v>
      </c>
      <c r="I698" s="24"/>
      <c r="J698" s="25">
        <f>62436+25429-1</f>
        <v>87864</v>
      </c>
    </row>
    <row r="699" spans="1:10" ht="18" customHeight="1">
      <c r="A699" s="3" t="s">
        <v>104</v>
      </c>
      <c r="D699" s="29">
        <v>0</v>
      </c>
      <c r="E699" s="25"/>
      <c r="F699" s="29">
        <v>0</v>
      </c>
      <c r="G699" s="6"/>
      <c r="H699" s="29">
        <v>0</v>
      </c>
      <c r="I699" s="24"/>
      <c r="J699" s="29">
        <v>0</v>
      </c>
    </row>
    <row r="700" spans="1:10" ht="18" customHeight="1">
      <c r="A700" s="3" t="s">
        <v>92</v>
      </c>
      <c r="D700" s="22">
        <f>SUM(D696:D699)</f>
        <v>467526</v>
      </c>
      <c r="E700" s="22"/>
      <c r="F700" s="22">
        <f>SUM(F696:F699)</f>
        <v>542909</v>
      </c>
      <c r="G700" s="22"/>
      <c r="H700" s="22">
        <f>SUM(H696:H699)</f>
        <v>274981</v>
      </c>
      <c r="I700" s="8"/>
      <c r="J700" s="22">
        <f>SUM(J696:J699)</f>
        <v>351788</v>
      </c>
    </row>
    <row r="701" spans="4:10" ht="9.75" customHeight="1">
      <c r="D701" s="1"/>
      <c r="E701" s="1"/>
      <c r="F701" s="1"/>
      <c r="G701" s="1"/>
      <c r="H701" s="1"/>
      <c r="I701" s="6"/>
      <c r="J701" s="1"/>
    </row>
    <row r="702" spans="1:10" ht="18" customHeight="1">
      <c r="A702" s="3" t="s">
        <v>113</v>
      </c>
      <c r="D702" s="34"/>
      <c r="E702" s="34"/>
      <c r="F702" s="34"/>
      <c r="G702" s="34"/>
      <c r="H702" s="34"/>
      <c r="I702" s="54"/>
      <c r="J702" s="34"/>
    </row>
    <row r="703" spans="1:10" ht="18" customHeight="1">
      <c r="A703" s="3" t="s">
        <v>102</v>
      </c>
      <c r="D703" s="25">
        <v>110330</v>
      </c>
      <c r="E703" s="25"/>
      <c r="F703" s="25">
        <f>126689+794+1</f>
        <v>127484</v>
      </c>
      <c r="G703" s="25"/>
      <c r="H703" s="25">
        <f>89056+1010</f>
        <v>90066</v>
      </c>
      <c r="I703" s="24"/>
      <c r="J703" s="25">
        <f>110188+1001</f>
        <v>111189</v>
      </c>
    </row>
    <row r="704" spans="1:10" ht="18" customHeight="1">
      <c r="A704" s="3" t="s">
        <v>221</v>
      </c>
      <c r="D704" s="25">
        <f>4845+1139</f>
        <v>5984</v>
      </c>
      <c r="E704" s="25"/>
      <c r="F704" s="25">
        <f>11146+9</f>
        <v>11155</v>
      </c>
      <c r="G704" s="25"/>
      <c r="H704" s="25">
        <f>5185+10+2209+1</f>
        <v>7405</v>
      </c>
      <c r="I704" s="24"/>
      <c r="J704" s="25">
        <f>5911+13-1</f>
        <v>5923</v>
      </c>
    </row>
    <row r="705" spans="1:10" ht="18" customHeight="1">
      <c r="A705" s="3" t="s">
        <v>103</v>
      </c>
      <c r="D705" s="25">
        <v>46461</v>
      </c>
      <c r="E705" s="25"/>
      <c r="F705" s="25">
        <v>0</v>
      </c>
      <c r="G705" s="25"/>
      <c r="H705" s="25">
        <v>0</v>
      </c>
      <c r="I705" s="24"/>
      <c r="J705" s="25">
        <v>0</v>
      </c>
    </row>
    <row r="706" spans="1:10" ht="18" customHeight="1">
      <c r="A706" s="3" t="s">
        <v>104</v>
      </c>
      <c r="D706" s="29">
        <v>0</v>
      </c>
      <c r="E706" s="25"/>
      <c r="F706" s="29">
        <v>0</v>
      </c>
      <c r="G706" s="6"/>
      <c r="H706" s="29">
        <v>0</v>
      </c>
      <c r="I706" s="24"/>
      <c r="J706" s="29">
        <v>0</v>
      </c>
    </row>
    <row r="707" spans="1:10" ht="18" customHeight="1">
      <c r="A707" s="3" t="s">
        <v>92</v>
      </c>
      <c r="D707" s="22">
        <f>SUM(D702:D706)</f>
        <v>162775</v>
      </c>
      <c r="E707" s="22"/>
      <c r="F707" s="22">
        <f>SUM(F702:F706)</f>
        <v>138639</v>
      </c>
      <c r="G707" s="22"/>
      <c r="H707" s="22">
        <f>SUM(H702:H706)</f>
        <v>97471</v>
      </c>
      <c r="I707" s="8"/>
      <c r="J707" s="22">
        <f>SUM(J702:J706)</f>
        <v>117112</v>
      </c>
    </row>
    <row r="708" spans="4:10" ht="9.75" customHeight="1">
      <c r="D708" s="1"/>
      <c r="E708" s="1"/>
      <c r="F708" s="1"/>
      <c r="G708" s="1"/>
      <c r="H708" s="1"/>
      <c r="I708" s="6"/>
      <c r="J708" s="1"/>
    </row>
    <row r="709" spans="1:10" ht="15">
      <c r="A709" s="3" t="s">
        <v>262</v>
      </c>
      <c r="D709" s="34"/>
      <c r="E709" s="34"/>
      <c r="F709" s="34"/>
      <c r="G709" s="34"/>
      <c r="H709" s="34"/>
      <c r="I709" s="54"/>
      <c r="J709" s="34"/>
    </row>
    <row r="710" spans="1:10" ht="15">
      <c r="A710" s="3" t="s">
        <v>221</v>
      </c>
      <c r="D710" s="25">
        <v>24767</v>
      </c>
      <c r="E710" s="25"/>
      <c r="F710" s="25">
        <v>20826</v>
      </c>
      <c r="G710" s="25"/>
      <c r="H710" s="25">
        <v>26168</v>
      </c>
      <c r="I710" s="24"/>
      <c r="J710" s="25">
        <v>14711</v>
      </c>
    </row>
    <row r="711" spans="1:10" ht="18" customHeight="1">
      <c r="A711" s="3" t="s">
        <v>104</v>
      </c>
      <c r="D711" s="29">
        <v>0</v>
      </c>
      <c r="E711" s="25"/>
      <c r="F711" s="29">
        <v>0</v>
      </c>
      <c r="G711" s="6"/>
      <c r="H711" s="29">
        <v>0</v>
      </c>
      <c r="I711" s="24"/>
      <c r="J711" s="29">
        <v>0</v>
      </c>
    </row>
    <row r="712" spans="1:10" ht="15">
      <c r="A712" s="3" t="s">
        <v>92</v>
      </c>
      <c r="D712" s="22">
        <f>SUM(D709:D711)</f>
        <v>24767</v>
      </c>
      <c r="E712" s="22"/>
      <c r="F712" s="22">
        <f>SUM(F709:F711)</f>
        <v>20826</v>
      </c>
      <c r="G712" s="22"/>
      <c r="H712" s="22">
        <f>SUM(H709:H711)</f>
        <v>26168</v>
      </c>
      <c r="I712" s="8"/>
      <c r="J712" s="22">
        <f>SUM(J709:J711)</f>
        <v>14711</v>
      </c>
    </row>
    <row r="713" spans="4:10" ht="9.75" customHeight="1">
      <c r="D713" s="1"/>
      <c r="E713" s="1"/>
      <c r="F713" s="1"/>
      <c r="G713" s="1"/>
      <c r="H713" s="1"/>
      <c r="I713" s="6"/>
      <c r="J713" s="1"/>
    </row>
    <row r="714" spans="1:10" ht="18" customHeight="1">
      <c r="A714" s="3" t="s">
        <v>114</v>
      </c>
      <c r="D714" s="34"/>
      <c r="E714" s="34"/>
      <c r="F714" s="34"/>
      <c r="G714" s="34"/>
      <c r="H714" s="34"/>
      <c r="I714" s="54"/>
      <c r="J714" s="34"/>
    </row>
    <row r="715" spans="1:10" ht="18" customHeight="1">
      <c r="A715" s="3" t="s">
        <v>115</v>
      </c>
      <c r="D715" s="6">
        <v>720886</v>
      </c>
      <c r="E715" s="24"/>
      <c r="F715" s="6">
        <v>726688</v>
      </c>
      <c r="G715" s="6"/>
      <c r="H715" s="6">
        <v>431051</v>
      </c>
      <c r="I715" s="24"/>
      <c r="J715" s="6">
        <v>761112</v>
      </c>
    </row>
    <row r="716" spans="1:10" ht="18" customHeight="1">
      <c r="A716" s="3" t="s">
        <v>103</v>
      </c>
      <c r="D716" s="1">
        <v>101320</v>
      </c>
      <c r="E716" s="1"/>
      <c r="F716" s="25">
        <v>52589</v>
      </c>
      <c r="G716" s="1"/>
      <c r="H716" s="25">
        <v>65325</v>
      </c>
      <c r="I716" s="6"/>
      <c r="J716" s="25">
        <v>65978</v>
      </c>
    </row>
    <row r="717" spans="1:10" ht="18" customHeight="1">
      <c r="A717" s="3" t="s">
        <v>221</v>
      </c>
      <c r="D717" s="6">
        <f>69535+18445</f>
        <v>87980</v>
      </c>
      <c r="E717" s="1"/>
      <c r="F717" s="1">
        <f>126222+113+1</f>
        <v>126336</v>
      </c>
      <c r="G717" s="1"/>
      <c r="H717" s="1">
        <f>76073+154+30381</f>
        <v>106608</v>
      </c>
      <c r="I717" s="6"/>
      <c r="J717" s="1">
        <f>86724+188</f>
        <v>86912</v>
      </c>
    </row>
    <row r="718" spans="1:10" ht="18" customHeight="1">
      <c r="A718" s="3" t="s">
        <v>104</v>
      </c>
      <c r="D718" s="29">
        <v>31</v>
      </c>
      <c r="E718" s="1"/>
      <c r="F718" s="29">
        <v>69</v>
      </c>
      <c r="G718" s="6"/>
      <c r="H718" s="29">
        <v>113</v>
      </c>
      <c r="I718" s="6"/>
      <c r="J718" s="29">
        <v>253</v>
      </c>
    </row>
    <row r="719" spans="1:10" ht="18" customHeight="1">
      <c r="A719" s="3" t="s">
        <v>92</v>
      </c>
      <c r="D719" s="22">
        <f>SUM(D715:D718)</f>
        <v>910217</v>
      </c>
      <c r="E719" s="22"/>
      <c r="F719" s="22">
        <f>SUM(F715:F718)</f>
        <v>905682</v>
      </c>
      <c r="G719" s="22"/>
      <c r="H719" s="22">
        <f>SUM(H715:H718)</f>
        <v>603097</v>
      </c>
      <c r="I719" s="8"/>
      <c r="J719" s="22">
        <f>SUM(J715:J718)</f>
        <v>914255</v>
      </c>
    </row>
    <row r="720" spans="4:10" ht="9.75" customHeight="1">
      <c r="D720" s="1"/>
      <c r="E720" s="1"/>
      <c r="F720" s="1"/>
      <c r="G720" s="1"/>
      <c r="H720" s="1"/>
      <c r="I720" s="6"/>
      <c r="J720" s="1"/>
    </row>
    <row r="721" spans="1:10" ht="18" customHeight="1">
      <c r="A721" s="80" t="s">
        <v>0</v>
      </c>
      <c r="B721" s="80"/>
      <c r="C721" s="80"/>
      <c r="D721" s="80"/>
      <c r="E721" s="80"/>
      <c r="F721" s="80"/>
      <c r="G721" s="80"/>
      <c r="H721" s="80"/>
      <c r="I721" s="80"/>
      <c r="J721" s="80"/>
    </row>
    <row r="722" spans="1:10" ht="18" customHeight="1">
      <c r="A722" s="80" t="s">
        <v>429</v>
      </c>
      <c r="B722" s="80"/>
      <c r="C722" s="80"/>
      <c r="D722" s="80"/>
      <c r="E722" s="80"/>
      <c r="F722" s="80"/>
      <c r="G722" s="80"/>
      <c r="H722" s="80"/>
      <c r="I722" s="80"/>
      <c r="J722" s="80"/>
    </row>
    <row r="723" spans="1:10" ht="18" customHeight="1">
      <c r="A723" s="80" t="s">
        <v>420</v>
      </c>
      <c r="B723" s="80"/>
      <c r="C723" s="80"/>
      <c r="D723" s="80"/>
      <c r="E723" s="80"/>
      <c r="F723" s="80"/>
      <c r="G723" s="80"/>
      <c r="H723" s="80"/>
      <c r="I723" s="80"/>
      <c r="J723" s="80"/>
    </row>
    <row r="724" spans="1:10" ht="18" customHeight="1">
      <c r="A724" s="80" t="s">
        <v>150</v>
      </c>
      <c r="B724" s="80"/>
      <c r="C724" s="80"/>
      <c r="D724" s="80"/>
      <c r="E724" s="80"/>
      <c r="F724" s="80"/>
      <c r="G724" s="80"/>
      <c r="H724" s="80"/>
      <c r="I724" s="80"/>
      <c r="J724" s="80"/>
    </row>
    <row r="725" spans="1:10" ht="18" customHeight="1">
      <c r="A725" s="7" t="s">
        <v>13</v>
      </c>
      <c r="D725" s="2" t="s">
        <v>204</v>
      </c>
      <c r="F725" s="2" t="s">
        <v>52</v>
      </c>
      <c r="G725" s="2"/>
      <c r="H725" s="2" t="s">
        <v>204</v>
      </c>
      <c r="I725" s="4"/>
      <c r="J725" s="2" t="s">
        <v>53</v>
      </c>
    </row>
    <row r="726" spans="1:10" ht="18" customHeight="1">
      <c r="A726" s="7" t="s">
        <v>432</v>
      </c>
      <c r="D726" s="14" t="s">
        <v>368</v>
      </c>
      <c r="F726" s="14" t="s">
        <v>383</v>
      </c>
      <c r="G726" s="17"/>
      <c r="H726" s="18" t="s">
        <v>418</v>
      </c>
      <c r="I726" s="4"/>
      <c r="J726" s="14" t="s">
        <v>419</v>
      </c>
    </row>
    <row r="727" spans="1:9" ht="18" customHeight="1">
      <c r="A727" s="3" t="s">
        <v>116</v>
      </c>
      <c r="D727" s="25"/>
      <c r="E727" s="25"/>
      <c r="I727" s="24"/>
    </row>
    <row r="728" spans="1:10" ht="18" customHeight="1">
      <c r="A728" s="3" t="s">
        <v>102</v>
      </c>
      <c r="D728" s="22">
        <v>4979</v>
      </c>
      <c r="E728" s="22"/>
      <c r="F728" s="22">
        <v>3991</v>
      </c>
      <c r="G728" s="22"/>
      <c r="H728" s="22">
        <v>3333</v>
      </c>
      <c r="I728" s="8"/>
      <c r="J728" s="22">
        <v>3755</v>
      </c>
    </row>
    <row r="729" spans="1:10" ht="18" customHeight="1">
      <c r="A729" s="3" t="s">
        <v>221</v>
      </c>
      <c r="D729" s="33">
        <v>0</v>
      </c>
      <c r="E729" s="26"/>
      <c r="F729" s="33">
        <v>0</v>
      </c>
      <c r="G729" s="27"/>
      <c r="H729" s="33">
        <v>0</v>
      </c>
      <c r="I729" s="27"/>
      <c r="J729" s="33">
        <v>0</v>
      </c>
    </row>
    <row r="730" spans="1:10" ht="18" customHeight="1">
      <c r="A730" s="3" t="s">
        <v>92</v>
      </c>
      <c r="D730" s="22">
        <f>SUM(D727:D729)</f>
        <v>4979</v>
      </c>
      <c r="E730" s="22"/>
      <c r="F730" s="22">
        <f>SUM(F727:F729)</f>
        <v>3991</v>
      </c>
      <c r="G730" s="22"/>
      <c r="H730" s="22">
        <f>SUM(H727:H729)</f>
        <v>3333</v>
      </c>
      <c r="I730" s="8"/>
      <c r="J730" s="22">
        <f>SUM(J727:J729)</f>
        <v>3755</v>
      </c>
    </row>
    <row r="731" spans="4:10" ht="9.75" customHeight="1">
      <c r="D731" s="1"/>
      <c r="E731" s="1"/>
      <c r="F731" s="1"/>
      <c r="G731" s="1"/>
      <c r="H731" s="1"/>
      <c r="I731" s="6"/>
      <c r="J731" s="1"/>
    </row>
    <row r="732" spans="1:10" ht="18" customHeight="1">
      <c r="A732" s="3" t="s">
        <v>117</v>
      </c>
      <c r="D732" s="25"/>
      <c r="E732" s="25"/>
      <c r="F732" s="25"/>
      <c r="G732" s="25"/>
      <c r="H732" s="25"/>
      <c r="I732" s="24"/>
      <c r="J732" s="25"/>
    </row>
    <row r="733" spans="1:10" ht="18" customHeight="1">
      <c r="A733" s="3" t="s">
        <v>102</v>
      </c>
      <c r="D733" s="25">
        <v>0</v>
      </c>
      <c r="E733" s="25"/>
      <c r="F733" s="25">
        <v>0</v>
      </c>
      <c r="G733" s="25"/>
      <c r="H733" s="25">
        <v>0</v>
      </c>
      <c r="I733" s="24"/>
      <c r="J733" s="25">
        <v>0</v>
      </c>
    </row>
    <row r="734" spans="1:10" ht="18" customHeight="1">
      <c r="A734" s="3" t="s">
        <v>103</v>
      </c>
      <c r="D734" s="25">
        <v>3685577</v>
      </c>
      <c r="E734" s="25"/>
      <c r="F734" s="25">
        <v>4227786</v>
      </c>
      <c r="G734" s="25"/>
      <c r="H734" s="25">
        <v>1858217</v>
      </c>
      <c r="I734" s="24"/>
      <c r="J734" s="25">
        <v>3790763</v>
      </c>
    </row>
    <row r="735" spans="1:10" ht="18" customHeight="1">
      <c r="A735" s="3" t="s">
        <v>221</v>
      </c>
      <c r="D735" s="6">
        <f>260007+74710</f>
        <v>334717</v>
      </c>
      <c r="E735" s="6"/>
      <c r="F735" s="6">
        <f>391584+301-1</f>
        <v>391884</v>
      </c>
      <c r="G735" s="6"/>
      <c r="H735" s="6">
        <f>253616+499+103448</f>
        <v>357563</v>
      </c>
      <c r="I735" s="6"/>
      <c r="J735" s="6">
        <f>289122+501-1</f>
        <v>289622</v>
      </c>
    </row>
    <row r="736" spans="1:10" ht="18" customHeight="1">
      <c r="A736" s="3" t="s">
        <v>104</v>
      </c>
      <c r="D736" s="29">
        <v>0</v>
      </c>
      <c r="E736" s="1"/>
      <c r="F736" s="33">
        <v>0</v>
      </c>
      <c r="G736" s="27"/>
      <c r="H736" s="29">
        <v>0</v>
      </c>
      <c r="I736" s="27"/>
      <c r="J736" s="33">
        <v>0</v>
      </c>
    </row>
    <row r="737" spans="1:10" ht="18" customHeight="1">
      <c r="A737" s="3" t="s">
        <v>92</v>
      </c>
      <c r="D737" s="22">
        <f>SUM(D733:D736)</f>
        <v>4020294</v>
      </c>
      <c r="E737" s="22"/>
      <c r="F737" s="22">
        <f>SUM(F733:F736)</f>
        <v>4619670</v>
      </c>
      <c r="G737" s="22"/>
      <c r="H737" s="22">
        <f>SUM(H733:H736)</f>
        <v>2215780</v>
      </c>
      <c r="I737" s="8"/>
      <c r="J737" s="22">
        <f>SUM(J733:J736)</f>
        <v>4080385</v>
      </c>
    </row>
    <row r="738" spans="4:10" ht="9.75" customHeight="1">
      <c r="D738" s="1"/>
      <c r="E738" s="1"/>
      <c r="F738" s="1"/>
      <c r="G738" s="1"/>
      <c r="H738" s="1"/>
      <c r="I738" s="6"/>
      <c r="J738" s="1"/>
    </row>
    <row r="739" spans="1:10" ht="18" customHeight="1">
      <c r="A739" s="3" t="s">
        <v>156</v>
      </c>
      <c r="D739" s="25"/>
      <c r="E739" s="25"/>
      <c r="F739" s="25"/>
      <c r="G739" s="25"/>
      <c r="H739" s="25"/>
      <c r="I739" s="24"/>
      <c r="J739" s="25"/>
    </row>
    <row r="740" spans="1:10" ht="18" customHeight="1">
      <c r="A740" s="3" t="s">
        <v>91</v>
      </c>
      <c r="D740" s="25">
        <v>1239666</v>
      </c>
      <c r="E740" s="25"/>
      <c r="F740" s="25">
        <v>1232564</v>
      </c>
      <c r="G740" s="25"/>
      <c r="H740" s="25">
        <v>829976</v>
      </c>
      <c r="I740" s="24"/>
      <c r="J740" s="25">
        <v>1422815</v>
      </c>
    </row>
    <row r="741" spans="1:10" ht="18" customHeight="1">
      <c r="A741" s="3" t="s">
        <v>221</v>
      </c>
      <c r="D741" s="25">
        <f>40162+68+11759</f>
        <v>51989</v>
      </c>
      <c r="E741" s="25"/>
      <c r="F741" s="25">
        <f>54457+40-1</f>
        <v>54496</v>
      </c>
      <c r="G741" s="25"/>
      <c r="H741" s="25">
        <f>30442+56+10000-1</f>
        <v>40497</v>
      </c>
      <c r="I741" s="24"/>
      <c r="J741" s="25">
        <f>34704+46</f>
        <v>34750</v>
      </c>
    </row>
    <row r="742" spans="1:10" ht="18" customHeight="1">
      <c r="A742" s="3" t="s">
        <v>104</v>
      </c>
      <c r="D742" s="29">
        <v>0</v>
      </c>
      <c r="E742" s="1"/>
      <c r="F742" s="33">
        <v>0</v>
      </c>
      <c r="G742" s="6"/>
      <c r="H742" s="29">
        <v>0</v>
      </c>
      <c r="I742" s="6"/>
      <c r="J742" s="33">
        <v>0</v>
      </c>
    </row>
    <row r="743" spans="1:10" ht="18" customHeight="1">
      <c r="A743" s="3" t="s">
        <v>92</v>
      </c>
      <c r="D743" s="22">
        <f>SUM(D740:D742)</f>
        <v>1291655</v>
      </c>
      <c r="E743" s="22"/>
      <c r="F743" s="22">
        <f>SUM(F740:F742)</f>
        <v>1287060</v>
      </c>
      <c r="G743" s="22"/>
      <c r="H743" s="22">
        <f>SUM(H740:H742)</f>
        <v>870473</v>
      </c>
      <c r="I743" s="8"/>
      <c r="J743" s="22">
        <f>SUM(J740:J742)</f>
        <v>1457565</v>
      </c>
    </row>
    <row r="744" spans="4:10" ht="9.75" customHeight="1">
      <c r="D744" s="1"/>
      <c r="E744" s="1"/>
      <c r="F744" s="1"/>
      <c r="G744" s="1"/>
      <c r="H744" s="1"/>
      <c r="I744" s="6"/>
      <c r="J744" s="1"/>
    </row>
    <row r="745" spans="1:10" ht="18" customHeight="1">
      <c r="A745" s="3" t="s">
        <v>118</v>
      </c>
      <c r="D745" s="22"/>
      <c r="E745" s="22"/>
      <c r="F745" s="22"/>
      <c r="G745" s="22"/>
      <c r="H745" s="22"/>
      <c r="I745" s="8"/>
      <c r="J745" s="22"/>
    </row>
    <row r="746" spans="1:10" ht="18" customHeight="1">
      <c r="A746" s="3" t="s">
        <v>102</v>
      </c>
      <c r="D746" s="25">
        <v>1162050</v>
      </c>
      <c r="E746" s="25"/>
      <c r="F746" s="25">
        <v>1179306</v>
      </c>
      <c r="G746" s="25"/>
      <c r="H746" s="25">
        <f>26249+826879</f>
        <v>853128</v>
      </c>
      <c r="I746" s="24"/>
      <c r="J746" s="25">
        <f>27638+1124555</f>
        <v>1152193</v>
      </c>
    </row>
    <row r="747" spans="1:10" ht="18" customHeight="1">
      <c r="A747" s="3" t="s">
        <v>221</v>
      </c>
      <c r="D747" s="25">
        <f>101829+27732</f>
        <v>129561</v>
      </c>
      <c r="E747" s="25"/>
      <c r="F747" s="6">
        <f>151959+110+1</f>
        <v>152070</v>
      </c>
      <c r="G747" s="6"/>
      <c r="H747" s="6">
        <f>94034+181+35045-1</f>
        <v>129259</v>
      </c>
      <c r="I747" s="24"/>
      <c r="J747" s="6">
        <f>107198+173+1</f>
        <v>107372</v>
      </c>
    </row>
    <row r="748" spans="1:10" ht="18" customHeight="1">
      <c r="A748" s="3" t="s">
        <v>104</v>
      </c>
      <c r="D748" s="29">
        <v>0</v>
      </c>
      <c r="E748" s="1"/>
      <c r="F748" s="33">
        <v>0</v>
      </c>
      <c r="G748" s="6"/>
      <c r="H748" s="29">
        <v>0</v>
      </c>
      <c r="I748" s="6"/>
      <c r="J748" s="33">
        <v>0</v>
      </c>
    </row>
    <row r="749" spans="1:10" ht="18" customHeight="1">
      <c r="A749" s="3" t="s">
        <v>92</v>
      </c>
      <c r="D749" s="22">
        <f>SUM(D745:D748)</f>
        <v>1291611</v>
      </c>
      <c r="E749" s="22"/>
      <c r="F749" s="22">
        <f>SUM(F745:F748)</f>
        <v>1331376</v>
      </c>
      <c r="G749" s="22"/>
      <c r="H749" s="22">
        <f>SUM(H745:H748)</f>
        <v>982387</v>
      </c>
      <c r="I749" s="8"/>
      <c r="J749" s="22">
        <f>SUM(J745:J748)</f>
        <v>1259565</v>
      </c>
    </row>
    <row r="750" spans="4:10" ht="9.75" customHeight="1">
      <c r="D750" s="1"/>
      <c r="E750" s="1"/>
      <c r="F750" s="1"/>
      <c r="G750" s="1"/>
      <c r="H750" s="1"/>
      <c r="I750" s="6"/>
      <c r="J750" s="1"/>
    </row>
    <row r="751" spans="1:10" ht="18" customHeight="1">
      <c r="A751" s="3" t="s">
        <v>313</v>
      </c>
      <c r="D751" s="34"/>
      <c r="E751" s="34"/>
      <c r="F751" s="34"/>
      <c r="G751" s="34"/>
      <c r="H751" s="34"/>
      <c r="I751" s="54"/>
      <c r="J751" s="34"/>
    </row>
    <row r="752" spans="1:10" ht="18" customHeight="1">
      <c r="A752" s="3" t="s">
        <v>119</v>
      </c>
      <c r="D752" s="25">
        <v>211969</v>
      </c>
      <c r="E752" s="25"/>
      <c r="F752" s="25">
        <v>116727</v>
      </c>
      <c r="G752" s="25"/>
      <c r="H752" s="25">
        <v>5580</v>
      </c>
      <c r="I752" s="24"/>
      <c r="J752" s="25">
        <v>14833</v>
      </c>
    </row>
    <row r="753" spans="1:10" ht="18" customHeight="1">
      <c r="A753" s="3" t="s">
        <v>103</v>
      </c>
      <c r="D753" s="25">
        <v>0</v>
      </c>
      <c r="E753" s="25"/>
      <c r="F753" s="25">
        <v>0</v>
      </c>
      <c r="G753" s="25"/>
      <c r="H753" s="25">
        <v>14940</v>
      </c>
      <c r="I753" s="24"/>
      <c r="J753" s="25">
        <v>0</v>
      </c>
    </row>
    <row r="754" spans="1:10" ht="18" customHeight="1">
      <c r="A754" s="3" t="s">
        <v>221</v>
      </c>
      <c r="D754" s="25">
        <f>8350+14+2434-1</f>
        <v>10797</v>
      </c>
      <c r="E754" s="25"/>
      <c r="F754" s="25">
        <f>11719-2</f>
        <v>11717</v>
      </c>
      <c r="G754" s="25"/>
      <c r="H754" s="25">
        <f>6440+13+3287</f>
        <v>9740</v>
      </c>
      <c r="I754" s="24"/>
      <c r="J754" s="25">
        <f>4250+1</f>
        <v>4251</v>
      </c>
    </row>
    <row r="755" spans="1:10" ht="18" customHeight="1">
      <c r="A755" s="3" t="s">
        <v>104</v>
      </c>
      <c r="D755" s="29">
        <v>0</v>
      </c>
      <c r="E755" s="1"/>
      <c r="F755" s="33">
        <v>0</v>
      </c>
      <c r="G755" s="6"/>
      <c r="H755" s="29">
        <v>0</v>
      </c>
      <c r="I755" s="6"/>
      <c r="J755" s="33">
        <v>0</v>
      </c>
    </row>
    <row r="756" spans="1:10" ht="18" customHeight="1">
      <c r="A756" s="3" t="s">
        <v>92</v>
      </c>
      <c r="D756" s="22">
        <f>SUM(D751:D755)</f>
        <v>222766</v>
      </c>
      <c r="E756" s="22"/>
      <c r="F756" s="22">
        <f>SUM(F751:F755)</f>
        <v>128444</v>
      </c>
      <c r="G756" s="22"/>
      <c r="H756" s="22">
        <f>SUM(H751:H755)</f>
        <v>30260</v>
      </c>
      <c r="I756" s="8"/>
      <c r="J756" s="22">
        <f>SUM(J751:J755)</f>
        <v>19084</v>
      </c>
    </row>
    <row r="757" spans="4:10" ht="9.75" customHeight="1">
      <c r="D757" s="1"/>
      <c r="E757" s="1"/>
      <c r="F757" s="1"/>
      <c r="G757" s="1"/>
      <c r="H757" s="1"/>
      <c r="I757" s="6"/>
      <c r="J757" s="1"/>
    </row>
    <row r="758" spans="1:10" ht="18" customHeight="1">
      <c r="A758" s="3" t="s">
        <v>138</v>
      </c>
      <c r="D758" s="34"/>
      <c r="E758" s="34"/>
      <c r="F758" s="34"/>
      <c r="G758" s="34"/>
      <c r="H758" s="34"/>
      <c r="I758" s="54"/>
      <c r="J758" s="34"/>
    </row>
    <row r="759" spans="1:10" ht="18" customHeight="1">
      <c r="A759" s="3" t="s">
        <v>119</v>
      </c>
      <c r="D759" s="24">
        <v>4246</v>
      </c>
      <c r="E759" s="25"/>
      <c r="F759" s="24">
        <v>4736</v>
      </c>
      <c r="G759" s="24"/>
      <c r="H759" s="24">
        <v>17249</v>
      </c>
      <c r="I759" s="24"/>
      <c r="J759" s="24">
        <v>5175</v>
      </c>
    </row>
    <row r="760" spans="1:10" ht="18" customHeight="1">
      <c r="A760" s="3" t="s">
        <v>221</v>
      </c>
      <c r="D760" s="24">
        <v>0</v>
      </c>
      <c r="E760" s="6"/>
      <c r="F760" s="24">
        <v>0</v>
      </c>
      <c r="G760" s="6"/>
      <c r="H760" s="24">
        <f>170-38+2</f>
        <v>134</v>
      </c>
      <c r="I760" s="6"/>
      <c r="J760" s="24">
        <f>206-1</f>
        <v>205</v>
      </c>
    </row>
    <row r="761" spans="1:10" ht="18" customHeight="1">
      <c r="A761" s="3" t="s">
        <v>104</v>
      </c>
      <c r="D761" s="29">
        <v>0</v>
      </c>
      <c r="E761" s="1"/>
      <c r="F761" s="33">
        <v>0</v>
      </c>
      <c r="G761" s="6"/>
      <c r="H761" s="29">
        <v>0</v>
      </c>
      <c r="I761" s="6"/>
      <c r="J761" s="33">
        <v>0</v>
      </c>
    </row>
    <row r="762" spans="1:10" ht="18" customHeight="1">
      <c r="A762" s="3" t="s">
        <v>92</v>
      </c>
      <c r="D762" s="22">
        <f>SUM(D758:D761)</f>
        <v>4246</v>
      </c>
      <c r="E762" s="22"/>
      <c r="F762" s="22">
        <f>SUM(F758:F761)</f>
        <v>4736</v>
      </c>
      <c r="G762" s="22"/>
      <c r="H762" s="22">
        <f>SUM(H758:H761)</f>
        <v>17383</v>
      </c>
      <c r="I762" s="8"/>
      <c r="J762" s="22">
        <f>SUM(J758:J761)</f>
        <v>5380</v>
      </c>
    </row>
    <row r="763" spans="4:10" ht="9.75" customHeight="1">
      <c r="D763" s="1"/>
      <c r="E763" s="1"/>
      <c r="F763" s="1"/>
      <c r="G763" s="1"/>
      <c r="H763" s="1"/>
      <c r="I763" s="6"/>
      <c r="J763" s="1"/>
    </row>
    <row r="764" spans="1:9" ht="18" customHeight="1">
      <c r="A764" s="3" t="s">
        <v>314</v>
      </c>
      <c r="D764" s="34"/>
      <c r="E764" s="34"/>
      <c r="I764" s="54"/>
    </row>
    <row r="765" spans="1:10" ht="18" customHeight="1">
      <c r="A765" s="3" t="s">
        <v>226</v>
      </c>
      <c r="D765" s="24">
        <v>0</v>
      </c>
      <c r="E765" s="25"/>
      <c r="F765" s="24">
        <v>0</v>
      </c>
      <c r="G765" s="24"/>
      <c r="H765" s="24">
        <v>188515</v>
      </c>
      <c r="I765" s="24"/>
      <c r="J765" s="24">
        <v>0</v>
      </c>
    </row>
    <row r="766" spans="1:10" ht="18" customHeight="1">
      <c r="A766" s="3" t="s">
        <v>221</v>
      </c>
      <c r="D766" s="24">
        <v>1009</v>
      </c>
      <c r="E766" s="25"/>
      <c r="F766" s="24">
        <v>979</v>
      </c>
      <c r="G766" s="24"/>
      <c r="H766" s="24">
        <f>2013+6+451</f>
        <v>2470</v>
      </c>
      <c r="I766" s="24"/>
      <c r="J766" s="24">
        <f>2295+11-1</f>
        <v>2305</v>
      </c>
    </row>
    <row r="767" spans="1:10" ht="18" customHeight="1">
      <c r="A767" s="3" t="s">
        <v>104</v>
      </c>
      <c r="D767" s="29">
        <v>0</v>
      </c>
      <c r="E767" s="1"/>
      <c r="F767" s="33">
        <v>0</v>
      </c>
      <c r="G767" s="6"/>
      <c r="H767" s="29">
        <v>0</v>
      </c>
      <c r="I767" s="6"/>
      <c r="J767" s="33">
        <v>0</v>
      </c>
    </row>
    <row r="768" spans="1:10" ht="18" customHeight="1">
      <c r="A768" s="3" t="s">
        <v>92</v>
      </c>
      <c r="D768" s="22">
        <f>SUM(D764:D767)</f>
        <v>1009</v>
      </c>
      <c r="E768" s="22"/>
      <c r="F768" s="22">
        <f>SUM(F764:F767)</f>
        <v>979</v>
      </c>
      <c r="G768" s="22"/>
      <c r="H768" s="22">
        <f>SUM(H764:H767)</f>
        <v>190985</v>
      </c>
      <c r="I768" s="8"/>
      <c r="J768" s="22">
        <f>SUM(J764:J767)</f>
        <v>2305</v>
      </c>
    </row>
    <row r="769" spans="4:10" ht="9.75" customHeight="1">
      <c r="D769" s="1"/>
      <c r="E769" s="1"/>
      <c r="F769" s="1"/>
      <c r="G769" s="1"/>
      <c r="H769" s="1"/>
      <c r="I769" s="6"/>
      <c r="J769" s="1"/>
    </row>
    <row r="770" spans="1:10" ht="18" customHeight="1">
      <c r="A770" s="80" t="s">
        <v>0</v>
      </c>
      <c r="B770" s="80"/>
      <c r="C770" s="80"/>
      <c r="D770" s="80"/>
      <c r="E770" s="80"/>
      <c r="F770" s="80"/>
      <c r="G770" s="80"/>
      <c r="H770" s="80"/>
      <c r="I770" s="80"/>
      <c r="J770" s="80"/>
    </row>
    <row r="771" spans="1:10" ht="18" customHeight="1">
      <c r="A771" s="80" t="s">
        <v>429</v>
      </c>
      <c r="B771" s="80"/>
      <c r="C771" s="80"/>
      <c r="D771" s="80"/>
      <c r="E771" s="80"/>
      <c r="F771" s="80"/>
      <c r="G771" s="80"/>
      <c r="H771" s="80"/>
      <c r="I771" s="80"/>
      <c r="J771" s="80"/>
    </row>
    <row r="772" spans="1:10" ht="18" customHeight="1">
      <c r="A772" s="80" t="s">
        <v>420</v>
      </c>
      <c r="B772" s="80"/>
      <c r="C772" s="80"/>
      <c r="D772" s="80"/>
      <c r="E772" s="80"/>
      <c r="F772" s="80"/>
      <c r="G772" s="80"/>
      <c r="H772" s="80"/>
      <c r="I772" s="80"/>
      <c r="J772" s="80"/>
    </row>
    <row r="773" spans="1:10" ht="18" customHeight="1">
      <c r="A773" s="80" t="s">
        <v>150</v>
      </c>
      <c r="B773" s="80"/>
      <c r="C773" s="80"/>
      <c r="D773" s="80"/>
      <c r="E773" s="80"/>
      <c r="F773" s="80"/>
      <c r="G773" s="80"/>
      <c r="H773" s="80"/>
      <c r="I773" s="80"/>
      <c r="J773" s="80"/>
    </row>
    <row r="774" spans="1:10" ht="18" customHeight="1">
      <c r="A774" s="7" t="s">
        <v>13</v>
      </c>
      <c r="D774" s="2" t="s">
        <v>204</v>
      </c>
      <c r="F774" s="2" t="s">
        <v>52</v>
      </c>
      <c r="G774" s="2"/>
      <c r="H774" s="2" t="s">
        <v>204</v>
      </c>
      <c r="I774" s="4"/>
      <c r="J774" s="2" t="s">
        <v>53</v>
      </c>
    </row>
    <row r="775" spans="1:10" ht="18" customHeight="1">
      <c r="A775" s="7" t="s">
        <v>432</v>
      </c>
      <c r="D775" s="14" t="s">
        <v>368</v>
      </c>
      <c r="F775" s="14" t="s">
        <v>383</v>
      </c>
      <c r="G775" s="17"/>
      <c r="H775" s="18" t="s">
        <v>418</v>
      </c>
      <c r="I775" s="4"/>
      <c r="J775" s="14" t="s">
        <v>419</v>
      </c>
    </row>
    <row r="776" spans="1:10" ht="18" customHeight="1">
      <c r="A776" s="3" t="s">
        <v>139</v>
      </c>
      <c r="D776" s="59"/>
      <c r="E776" s="34"/>
      <c r="F776" s="34"/>
      <c r="G776" s="34"/>
      <c r="H776" s="34"/>
      <c r="I776" s="54"/>
      <c r="J776" s="34"/>
    </row>
    <row r="777" spans="1:10" ht="18" customHeight="1">
      <c r="A777" s="3" t="s">
        <v>226</v>
      </c>
      <c r="D777" s="8">
        <v>63246</v>
      </c>
      <c r="E777" s="8"/>
      <c r="F777" s="8">
        <v>0</v>
      </c>
      <c r="G777" s="8"/>
      <c r="H777" s="8">
        <v>120759</v>
      </c>
      <c r="I777" s="8"/>
      <c r="J777" s="8">
        <v>0</v>
      </c>
    </row>
    <row r="778" spans="1:10" ht="18" customHeight="1">
      <c r="A778" s="3" t="s">
        <v>221</v>
      </c>
      <c r="D778" s="28">
        <f>692+2+113</f>
        <v>807</v>
      </c>
      <c r="E778" s="25"/>
      <c r="F778" s="28">
        <v>956</v>
      </c>
      <c r="G778" s="24"/>
      <c r="H778" s="28">
        <f>1454+4+573-1</f>
        <v>2030</v>
      </c>
      <c r="I778" s="24"/>
      <c r="J778" s="28">
        <f>1745+4+1</f>
        <v>1750</v>
      </c>
    </row>
    <row r="779" spans="1:10" ht="18" customHeight="1">
      <c r="A779" s="3" t="s">
        <v>92</v>
      </c>
      <c r="D779" s="22">
        <f>SUM(D776:D778)</f>
        <v>64053</v>
      </c>
      <c r="E779" s="22"/>
      <c r="F779" s="22">
        <f>SUM(F776:F778)</f>
        <v>956</v>
      </c>
      <c r="G779" s="22"/>
      <c r="H779" s="22">
        <f>SUM(H776:H778)</f>
        <v>122789</v>
      </c>
      <c r="I779" s="8"/>
      <c r="J779" s="22">
        <f>SUM(J776:J778)</f>
        <v>1750</v>
      </c>
    </row>
    <row r="780" spans="4:10" ht="9.75" customHeight="1">
      <c r="D780" s="1"/>
      <c r="E780" s="1"/>
      <c r="F780" s="1"/>
      <c r="G780" s="1"/>
      <c r="H780" s="1"/>
      <c r="I780" s="6"/>
      <c r="J780" s="1"/>
    </row>
    <row r="781" spans="1:10" ht="18" customHeight="1">
      <c r="A781" s="3" t="s">
        <v>170</v>
      </c>
      <c r="D781" s="59"/>
      <c r="E781" s="34"/>
      <c r="F781" s="34"/>
      <c r="G781" s="34"/>
      <c r="H781" s="34"/>
      <c r="I781" s="54"/>
      <c r="J781" s="34"/>
    </row>
    <row r="782" spans="1:10" ht="18" customHeight="1">
      <c r="A782" s="3" t="s">
        <v>226</v>
      </c>
      <c r="D782" s="24">
        <v>3352</v>
      </c>
      <c r="E782" s="24"/>
      <c r="F782" s="24">
        <v>2275</v>
      </c>
      <c r="G782" s="24"/>
      <c r="H782" s="24">
        <v>4982</v>
      </c>
      <c r="I782" s="24"/>
      <c r="J782" s="24">
        <v>6880</v>
      </c>
    </row>
    <row r="783" spans="1:10" ht="18" customHeight="1">
      <c r="A783" s="3" t="s">
        <v>221</v>
      </c>
      <c r="D783" s="6">
        <f>797+223</f>
        <v>1020</v>
      </c>
      <c r="E783" s="6"/>
      <c r="F783" s="6">
        <f>1299+1</f>
        <v>1300</v>
      </c>
      <c r="G783" s="6"/>
      <c r="H783" s="24">
        <f>551+1+189</f>
        <v>741</v>
      </c>
      <c r="I783" s="6"/>
      <c r="J783" s="6">
        <f>628+598+1</f>
        <v>1227</v>
      </c>
    </row>
    <row r="784" spans="1:10" ht="18" customHeight="1">
      <c r="A784" s="3" t="s">
        <v>104</v>
      </c>
      <c r="D784" s="29">
        <v>0</v>
      </c>
      <c r="E784" s="1"/>
      <c r="F784" s="33">
        <v>0</v>
      </c>
      <c r="G784" s="6"/>
      <c r="H784" s="29">
        <v>0</v>
      </c>
      <c r="I784" s="6"/>
      <c r="J784" s="33">
        <v>0</v>
      </c>
    </row>
    <row r="785" spans="1:10" ht="18" customHeight="1">
      <c r="A785" s="3" t="s">
        <v>92</v>
      </c>
      <c r="D785" s="32">
        <f>SUM(D781:D784)</f>
        <v>4372</v>
      </c>
      <c r="E785" s="22"/>
      <c r="F785" s="32">
        <f>SUM(F781:F784)</f>
        <v>3575</v>
      </c>
      <c r="G785" s="8"/>
      <c r="H785" s="32">
        <f>SUM(H781:H784)</f>
        <v>5723</v>
      </c>
      <c r="I785" s="8"/>
      <c r="J785" s="32">
        <f>SUM(J781:J784)</f>
        <v>8107</v>
      </c>
    </row>
    <row r="786" spans="4:10" ht="6.75" customHeight="1">
      <c r="D786" s="17"/>
      <c r="F786" s="17"/>
      <c r="G786" s="17"/>
      <c r="H786" s="17"/>
      <c r="J786" s="17"/>
    </row>
    <row r="787" spans="1:10" ht="18" customHeight="1">
      <c r="A787" s="3" t="s">
        <v>39</v>
      </c>
      <c r="D787" s="20">
        <f>D785+D779+D768+D762+D756+D749+D743+D737+D730+D719+D712+D707+D700+D694+D688+D682+D671+D665+D660+D654+D648+D642+D637+D633+D621+D617+D610+D603+D597+D593+D587+D574+D569+D564+D558+D552+D546+D541</f>
        <v>20065176</v>
      </c>
      <c r="E787" s="22"/>
      <c r="F787" s="20">
        <f>F785+F779+F768+F762+F756+F749+F743+F737+F730+F719+F712+F707+F700+F694+F688+F682+F671+F665+F660+F654+F648+F642+F637+F633+F621+F617+F610+F603+F597+F593+F587+F574+F569+F564+F558+F552+F546+F541</f>
        <v>22017144</v>
      </c>
      <c r="G787" s="8"/>
      <c r="H787" s="20">
        <f>H785+H779+H768+H762+H756+H749+H743+H737+H730+H719+H712+H707+H700+H694+H688+H682+H671+H665+H660+H654+H648+H642+H637+H633+H621+H617+H610+H603+H597+H593+H587+H574+H569+H564+H558+H552+H546+H541</f>
        <v>20466491</v>
      </c>
      <c r="I787" s="8"/>
      <c r="J787" s="20">
        <f>J785+J779+J768+J762+J756+J749+J743+J737+J730+J719+J712+J707+J700+J694+J688+J682+J671+J665+J660+J654+J648+J642+J637+J633+J621+J617+J610+J603+J597+J593+J587+J574+J569+J564+J558+J552+J546+J541</f>
        <v>23170634</v>
      </c>
    </row>
    <row r="788" spans="1:10" ht="18" customHeight="1">
      <c r="A788" s="3"/>
      <c r="D788" s="8"/>
      <c r="E788" s="22"/>
      <c r="F788" s="8"/>
      <c r="G788" s="8"/>
      <c r="H788" s="8"/>
      <c r="I788" s="8"/>
      <c r="J788" s="8"/>
    </row>
    <row r="789" spans="1:10" ht="18" customHeight="1">
      <c r="A789" s="7"/>
      <c r="D789" s="22"/>
      <c r="E789" s="22"/>
      <c r="F789" s="22"/>
      <c r="G789" s="22"/>
      <c r="H789" s="22"/>
      <c r="I789" s="8"/>
      <c r="J789" s="22"/>
    </row>
    <row r="790" spans="1:10" ht="18" customHeight="1">
      <c r="A790" s="7" t="s">
        <v>433</v>
      </c>
      <c r="D790" s="22"/>
      <c r="E790" s="22"/>
      <c r="F790" s="22"/>
      <c r="G790" s="22"/>
      <c r="H790" s="22"/>
      <c r="I790" s="8"/>
      <c r="J790" s="22"/>
    </row>
    <row r="791" ht="18" customHeight="1">
      <c r="A791" s="3" t="s">
        <v>121</v>
      </c>
    </row>
    <row r="792" spans="1:10" ht="18" customHeight="1">
      <c r="A792" s="3" t="s">
        <v>151</v>
      </c>
      <c r="D792" s="22">
        <v>39504</v>
      </c>
      <c r="E792" s="22"/>
      <c r="F792" s="22">
        <v>0</v>
      </c>
      <c r="G792" s="22"/>
      <c r="H792" s="22">
        <v>22166</v>
      </c>
      <c r="I792" s="8"/>
      <c r="J792" s="22">
        <v>0</v>
      </c>
    </row>
    <row r="793" spans="1:10" ht="8.25" customHeight="1">
      <c r="A793" s="7"/>
      <c r="D793" s="17"/>
      <c r="F793" s="17"/>
      <c r="G793" s="17"/>
      <c r="H793" s="17"/>
      <c r="J793" s="17"/>
    </row>
    <row r="794" spans="1:10" ht="18" customHeight="1">
      <c r="A794" s="3" t="s">
        <v>316</v>
      </c>
      <c r="D794" s="16"/>
      <c r="E794" s="16"/>
      <c r="F794" s="16"/>
      <c r="G794" s="16"/>
      <c r="H794" s="16"/>
      <c r="I794" s="53"/>
      <c r="J794" s="16"/>
    </row>
    <row r="795" spans="1:10" ht="18" customHeight="1">
      <c r="A795" s="3" t="s">
        <v>151</v>
      </c>
      <c r="D795" s="16">
        <v>-30570</v>
      </c>
      <c r="E795" s="16"/>
      <c r="F795" s="16">
        <v>0</v>
      </c>
      <c r="G795" s="16"/>
      <c r="H795" s="16">
        <v>0</v>
      </c>
      <c r="I795" s="53"/>
      <c r="J795" s="16">
        <v>0</v>
      </c>
    </row>
    <row r="796" spans="1:10" ht="8.25" customHeight="1">
      <c r="A796" s="7"/>
      <c r="D796" s="17"/>
      <c r="F796" s="17"/>
      <c r="G796" s="17"/>
      <c r="H796" s="17"/>
      <c r="J796" s="17"/>
    </row>
    <row r="797" spans="1:10" ht="18" customHeight="1">
      <c r="A797" s="3" t="s">
        <v>317</v>
      </c>
      <c r="D797" s="16"/>
      <c r="E797" s="16"/>
      <c r="F797" s="16"/>
      <c r="G797" s="16"/>
      <c r="H797" s="16"/>
      <c r="I797" s="53"/>
      <c r="J797" s="16"/>
    </row>
    <row r="798" spans="1:10" ht="18" customHeight="1">
      <c r="A798" s="3" t="s">
        <v>315</v>
      </c>
      <c r="D798" s="16">
        <v>511789</v>
      </c>
      <c r="E798" s="16"/>
      <c r="F798" s="16">
        <v>0</v>
      </c>
      <c r="G798" s="16"/>
      <c r="H798" s="16">
        <v>337890</v>
      </c>
      <c r="I798" s="53"/>
      <c r="J798" s="16">
        <v>0</v>
      </c>
    </row>
    <row r="799" spans="1:10" ht="8.25" customHeight="1">
      <c r="A799" s="7"/>
      <c r="D799" s="17"/>
      <c r="F799" s="17"/>
      <c r="G799" s="17"/>
      <c r="H799" s="17"/>
      <c r="J799" s="17"/>
    </row>
    <row r="800" spans="1:10" ht="18" customHeight="1">
      <c r="A800" s="3" t="s">
        <v>318</v>
      </c>
      <c r="D800" s="16"/>
      <c r="E800" s="16"/>
      <c r="F800" s="16"/>
      <c r="G800" s="16"/>
      <c r="H800" s="16"/>
      <c r="I800" s="53"/>
      <c r="J800" s="16"/>
    </row>
    <row r="801" spans="1:10" ht="18" customHeight="1">
      <c r="A801" s="3" t="s">
        <v>315</v>
      </c>
      <c r="D801" s="16">
        <v>25881</v>
      </c>
      <c r="E801" s="16"/>
      <c r="F801" s="16">
        <v>0</v>
      </c>
      <c r="G801" s="16"/>
      <c r="H801" s="16">
        <v>6071</v>
      </c>
      <c r="I801" s="53"/>
      <c r="J801" s="16">
        <v>0</v>
      </c>
    </row>
    <row r="802" spans="1:10" ht="8.25" customHeight="1">
      <c r="A802" s="7"/>
      <c r="D802" s="17"/>
      <c r="F802" s="17"/>
      <c r="G802" s="17"/>
      <c r="H802" s="17"/>
      <c r="J802" s="17"/>
    </row>
    <row r="803" spans="1:10" ht="18" customHeight="1">
      <c r="A803" s="3" t="s">
        <v>319</v>
      </c>
      <c r="D803" s="16"/>
      <c r="E803" s="16"/>
      <c r="F803" s="16"/>
      <c r="G803" s="16"/>
      <c r="H803" s="16"/>
      <c r="I803" s="53"/>
      <c r="J803" s="16"/>
    </row>
    <row r="804" spans="1:10" ht="18" customHeight="1">
      <c r="A804" s="3" t="s">
        <v>315</v>
      </c>
      <c r="D804" s="16">
        <v>105000</v>
      </c>
      <c r="E804" s="16"/>
      <c r="F804" s="16">
        <v>0</v>
      </c>
      <c r="G804" s="16"/>
      <c r="H804" s="16">
        <v>0</v>
      </c>
      <c r="I804" s="53"/>
      <c r="J804" s="16">
        <v>0</v>
      </c>
    </row>
    <row r="805" spans="1:10" ht="8.25" customHeight="1">
      <c r="A805" s="7"/>
      <c r="D805" s="17"/>
      <c r="F805" s="17"/>
      <c r="G805" s="17"/>
      <c r="H805" s="17"/>
      <c r="J805" s="17"/>
    </row>
    <row r="806" spans="1:10" ht="18" customHeight="1">
      <c r="A806" s="3" t="s">
        <v>320</v>
      </c>
      <c r="D806" s="16"/>
      <c r="E806" s="16"/>
      <c r="F806" s="16"/>
      <c r="G806" s="16"/>
      <c r="H806" s="16"/>
      <c r="I806" s="53"/>
      <c r="J806" s="16"/>
    </row>
    <row r="807" spans="1:10" ht="15">
      <c r="A807" s="3" t="s">
        <v>315</v>
      </c>
      <c r="D807" s="16">
        <v>0</v>
      </c>
      <c r="E807" s="16"/>
      <c r="F807" s="16">
        <v>0</v>
      </c>
      <c r="G807" s="16"/>
      <c r="H807" s="16">
        <v>11090</v>
      </c>
      <c r="I807" s="53"/>
      <c r="J807" s="16">
        <v>0</v>
      </c>
    </row>
    <row r="808" spans="1:10" ht="8.25" customHeight="1">
      <c r="A808" s="7"/>
      <c r="D808" s="17"/>
      <c r="F808" s="17"/>
      <c r="G808" s="17"/>
      <c r="H808" s="17"/>
      <c r="J808" s="17"/>
    </row>
    <row r="809" spans="1:10" ht="18" customHeight="1">
      <c r="A809" s="3" t="s">
        <v>321</v>
      </c>
      <c r="D809" s="16"/>
      <c r="E809" s="16"/>
      <c r="F809" s="16"/>
      <c r="G809" s="16"/>
      <c r="H809" s="16"/>
      <c r="I809" s="53"/>
      <c r="J809" s="16"/>
    </row>
    <row r="810" spans="1:10" ht="18" customHeight="1">
      <c r="A810" s="3" t="s">
        <v>315</v>
      </c>
      <c r="D810" s="16">
        <v>57483</v>
      </c>
      <c r="E810" s="16"/>
      <c r="F810" s="16">
        <v>0</v>
      </c>
      <c r="G810" s="16"/>
      <c r="H810" s="16">
        <v>0</v>
      </c>
      <c r="I810" s="53"/>
      <c r="J810" s="16">
        <v>0</v>
      </c>
    </row>
    <row r="811" spans="1:10" ht="8.25" customHeight="1">
      <c r="A811" s="7"/>
      <c r="D811" s="17"/>
      <c r="F811" s="17"/>
      <c r="G811" s="17"/>
      <c r="H811" s="17"/>
      <c r="J811" s="17"/>
    </row>
    <row r="812" spans="1:10" ht="18" customHeight="1">
      <c r="A812" s="3" t="s">
        <v>322</v>
      </c>
      <c r="D812" s="16"/>
      <c r="E812" s="16"/>
      <c r="F812" s="16"/>
      <c r="G812" s="16"/>
      <c r="H812" s="16"/>
      <c r="I812" s="53"/>
      <c r="J812" s="16"/>
    </row>
    <row r="813" spans="1:10" ht="18" customHeight="1">
      <c r="A813" s="3" t="s">
        <v>315</v>
      </c>
      <c r="D813" s="16">
        <v>108177</v>
      </c>
      <c r="E813" s="16"/>
      <c r="F813" s="16">
        <v>0</v>
      </c>
      <c r="G813" s="16"/>
      <c r="H813" s="16">
        <v>0</v>
      </c>
      <c r="I813" s="53"/>
      <c r="J813" s="16">
        <v>0</v>
      </c>
    </row>
    <row r="814" spans="1:10" ht="8.25" customHeight="1">
      <c r="A814" s="7"/>
      <c r="D814" s="17"/>
      <c r="F814" s="17"/>
      <c r="G814" s="17"/>
      <c r="H814" s="17"/>
      <c r="J814" s="17"/>
    </row>
    <row r="815" spans="1:10" ht="18" customHeight="1">
      <c r="A815" s="3" t="s">
        <v>323</v>
      </c>
      <c r="D815" s="16"/>
      <c r="E815" s="16"/>
      <c r="F815" s="16"/>
      <c r="G815" s="16"/>
      <c r="H815" s="16"/>
      <c r="I815" s="53"/>
      <c r="J815" s="16"/>
    </row>
    <row r="816" spans="1:10" ht="18" customHeight="1">
      <c r="A816" s="3" t="s">
        <v>315</v>
      </c>
      <c r="D816" s="16">
        <v>557586</v>
      </c>
      <c r="E816" s="16"/>
      <c r="F816" s="16">
        <v>0</v>
      </c>
      <c r="G816" s="16"/>
      <c r="H816" s="16">
        <v>383725</v>
      </c>
      <c r="I816" s="53"/>
      <c r="J816" s="16">
        <v>0</v>
      </c>
    </row>
    <row r="817" spans="1:10" ht="8.25" customHeight="1">
      <c r="A817" s="7"/>
      <c r="D817" s="17"/>
      <c r="F817" s="17"/>
      <c r="G817" s="17"/>
      <c r="H817" s="17"/>
      <c r="J817" s="17"/>
    </row>
    <row r="818" spans="1:10" ht="18" customHeight="1">
      <c r="A818" s="3" t="s">
        <v>370</v>
      </c>
      <c r="D818" s="16"/>
      <c r="E818" s="16"/>
      <c r="F818" s="16"/>
      <c r="G818" s="16"/>
      <c r="H818" s="16"/>
      <c r="I818" s="53"/>
      <c r="J818" s="16"/>
    </row>
    <row r="819" spans="1:10" ht="15">
      <c r="A819" s="3" t="s">
        <v>315</v>
      </c>
      <c r="D819" s="16">
        <v>80689</v>
      </c>
      <c r="E819" s="16"/>
      <c r="F819" s="16">
        <v>0</v>
      </c>
      <c r="G819" s="16"/>
      <c r="H819" s="16">
        <v>46716</v>
      </c>
      <c r="I819" s="53"/>
      <c r="J819" s="16">
        <v>0</v>
      </c>
    </row>
    <row r="820" spans="1:10" ht="8.25" customHeight="1">
      <c r="A820" s="7"/>
      <c r="D820" s="17"/>
      <c r="F820" s="17"/>
      <c r="G820" s="17"/>
      <c r="H820" s="17"/>
      <c r="J820" s="17"/>
    </row>
    <row r="821" spans="1:10" ht="18" customHeight="1">
      <c r="A821" s="3" t="s">
        <v>378</v>
      </c>
      <c r="D821" s="16"/>
      <c r="E821" s="16"/>
      <c r="F821" s="16"/>
      <c r="G821" s="16"/>
      <c r="H821" s="16"/>
      <c r="I821" s="53"/>
      <c r="J821" s="16"/>
    </row>
    <row r="822" spans="1:10" ht="15">
      <c r="A822" s="3" t="s">
        <v>315</v>
      </c>
      <c r="D822" s="16">
        <v>45489</v>
      </c>
      <c r="E822" s="16"/>
      <c r="F822" s="16">
        <v>0</v>
      </c>
      <c r="G822" s="16"/>
      <c r="H822" s="16">
        <v>21798</v>
      </c>
      <c r="I822" s="53"/>
      <c r="J822" s="16">
        <v>0</v>
      </c>
    </row>
    <row r="823" spans="1:10" ht="18" customHeight="1">
      <c r="A823" s="80" t="s">
        <v>0</v>
      </c>
      <c r="B823" s="80"/>
      <c r="C823" s="80"/>
      <c r="D823" s="80"/>
      <c r="E823" s="80"/>
      <c r="F823" s="80"/>
      <c r="G823" s="80"/>
      <c r="H823" s="80"/>
      <c r="I823" s="80"/>
      <c r="J823" s="80"/>
    </row>
    <row r="824" spans="1:10" ht="18" customHeight="1">
      <c r="A824" s="80" t="s">
        <v>429</v>
      </c>
      <c r="B824" s="80"/>
      <c r="C824" s="80"/>
      <c r="D824" s="80"/>
      <c r="E824" s="80"/>
      <c r="F824" s="80"/>
      <c r="G824" s="80"/>
      <c r="H824" s="80"/>
      <c r="I824" s="80"/>
      <c r="J824" s="80"/>
    </row>
    <row r="825" spans="1:10" ht="18" customHeight="1">
      <c r="A825" s="80" t="s">
        <v>420</v>
      </c>
      <c r="B825" s="80"/>
      <c r="C825" s="80"/>
      <c r="D825" s="80"/>
      <c r="E825" s="80"/>
      <c r="F825" s="80"/>
      <c r="G825" s="80"/>
      <c r="H825" s="80"/>
      <c r="I825" s="80"/>
      <c r="J825" s="80"/>
    </row>
    <row r="826" spans="1:10" ht="18" customHeight="1">
      <c r="A826" s="80" t="s">
        <v>150</v>
      </c>
      <c r="B826" s="80"/>
      <c r="C826" s="80"/>
      <c r="D826" s="80"/>
      <c r="E826" s="80"/>
      <c r="F826" s="80"/>
      <c r="G826" s="80"/>
      <c r="H826" s="80"/>
      <c r="I826" s="80"/>
      <c r="J826" s="80"/>
    </row>
    <row r="827" spans="1:10" ht="18" customHeight="1">
      <c r="A827" s="7" t="s">
        <v>13</v>
      </c>
      <c r="D827" s="2" t="s">
        <v>204</v>
      </c>
      <c r="F827" s="2" t="s">
        <v>52</v>
      </c>
      <c r="G827" s="2"/>
      <c r="H827" s="2" t="s">
        <v>204</v>
      </c>
      <c r="I827" s="4"/>
      <c r="J827" s="2" t="s">
        <v>53</v>
      </c>
    </row>
    <row r="828" spans="1:10" ht="18" customHeight="1">
      <c r="A828" s="7" t="s">
        <v>436</v>
      </c>
      <c r="D828" s="14" t="s">
        <v>368</v>
      </c>
      <c r="F828" s="14" t="s">
        <v>383</v>
      </c>
      <c r="G828" s="17"/>
      <c r="H828" s="18" t="s">
        <v>418</v>
      </c>
      <c r="I828" s="4"/>
      <c r="J828" s="14" t="s">
        <v>419</v>
      </c>
    </row>
    <row r="829" spans="1:10" ht="18" customHeight="1">
      <c r="A829" s="3" t="s">
        <v>324</v>
      </c>
      <c r="D829" s="16"/>
      <c r="E829" s="16"/>
      <c r="F829" s="16"/>
      <c r="G829" s="16"/>
      <c r="H829" s="16"/>
      <c r="I829" s="53"/>
      <c r="J829" s="16"/>
    </row>
    <row r="830" spans="1:10" ht="18" customHeight="1">
      <c r="A830" s="3" t="s">
        <v>315</v>
      </c>
      <c r="D830" s="15">
        <v>6255</v>
      </c>
      <c r="E830" s="15"/>
      <c r="F830" s="15">
        <v>0</v>
      </c>
      <c r="G830" s="15"/>
      <c r="H830" s="15">
        <v>68034</v>
      </c>
      <c r="I830" s="52"/>
      <c r="J830" s="15">
        <v>0</v>
      </c>
    </row>
    <row r="831" spans="1:10" ht="8.25" customHeight="1">
      <c r="A831" s="7"/>
      <c r="D831" s="17"/>
      <c r="F831" s="17"/>
      <c r="G831" s="17"/>
      <c r="H831" s="17"/>
      <c r="J831" s="17"/>
    </row>
    <row r="832" spans="1:10" ht="18" customHeight="1">
      <c r="A832" s="3" t="s">
        <v>325</v>
      </c>
      <c r="D832" s="16"/>
      <c r="E832" s="16"/>
      <c r="F832" s="16"/>
      <c r="G832" s="16"/>
      <c r="H832" s="16"/>
      <c r="I832" s="53"/>
      <c r="J832" s="16"/>
    </row>
    <row r="833" spans="1:10" ht="18" customHeight="1">
      <c r="A833" s="3" t="s">
        <v>315</v>
      </c>
      <c r="D833" s="16">
        <v>61513</v>
      </c>
      <c r="E833" s="16"/>
      <c r="F833" s="16">
        <v>0</v>
      </c>
      <c r="G833" s="16"/>
      <c r="H833" s="16">
        <v>83770</v>
      </c>
      <c r="I833" s="53"/>
      <c r="J833" s="16">
        <v>0</v>
      </c>
    </row>
    <row r="834" spans="1:10" ht="8.25" customHeight="1">
      <c r="A834" s="7"/>
      <c r="D834" s="17"/>
      <c r="F834" s="17"/>
      <c r="G834" s="17"/>
      <c r="H834" s="17"/>
      <c r="J834" s="17"/>
    </row>
    <row r="835" spans="1:10" ht="18" customHeight="1">
      <c r="A835" s="3" t="s">
        <v>326</v>
      </c>
      <c r="D835" s="16"/>
      <c r="E835" s="16"/>
      <c r="F835" s="16"/>
      <c r="G835" s="16"/>
      <c r="H835" s="16"/>
      <c r="I835" s="53"/>
      <c r="J835" s="16"/>
    </row>
    <row r="836" spans="1:10" ht="18" customHeight="1">
      <c r="A836" s="3" t="s">
        <v>315</v>
      </c>
      <c r="D836" s="16">
        <v>288901</v>
      </c>
      <c r="E836" s="16"/>
      <c r="F836" s="16">
        <v>0</v>
      </c>
      <c r="G836" s="16"/>
      <c r="H836" s="16">
        <v>219585</v>
      </c>
      <c r="I836" s="53"/>
      <c r="J836" s="16">
        <v>0</v>
      </c>
    </row>
    <row r="837" spans="1:10" ht="8.25" customHeight="1">
      <c r="A837" s="7"/>
      <c r="D837" s="17"/>
      <c r="F837" s="17"/>
      <c r="G837" s="17"/>
      <c r="H837" s="17"/>
      <c r="J837" s="17"/>
    </row>
    <row r="838" spans="1:10" ht="18" customHeight="1">
      <c r="A838" s="3" t="s">
        <v>408</v>
      </c>
      <c r="D838" s="16"/>
      <c r="E838" s="16"/>
      <c r="F838" s="16"/>
      <c r="G838" s="16"/>
      <c r="H838" s="16"/>
      <c r="I838" s="53"/>
      <c r="J838" s="16"/>
    </row>
    <row r="839" spans="1:10" ht="18" customHeight="1">
      <c r="A839" s="3" t="s">
        <v>407</v>
      </c>
      <c r="D839" s="16">
        <v>13000</v>
      </c>
      <c r="E839" s="16"/>
      <c r="F839" s="16">
        <v>0</v>
      </c>
      <c r="G839" s="16"/>
      <c r="H839" s="16">
        <v>0</v>
      </c>
      <c r="I839" s="53"/>
      <c r="J839" s="16">
        <v>0</v>
      </c>
    </row>
    <row r="840" spans="1:10" ht="8.25" customHeight="1">
      <c r="A840" s="7"/>
      <c r="D840" s="17"/>
      <c r="F840" s="17"/>
      <c r="G840" s="17"/>
      <c r="H840" s="17"/>
      <c r="J840" s="17"/>
    </row>
    <row r="841" spans="1:13" ht="18" customHeight="1">
      <c r="A841" s="3" t="s">
        <v>352</v>
      </c>
      <c r="D841" s="17"/>
      <c r="F841" s="17"/>
      <c r="G841" s="17"/>
      <c r="H841" s="17"/>
      <c r="J841" s="17"/>
      <c r="K841" s="70"/>
      <c r="L841" s="64"/>
      <c r="M841" s="64"/>
    </row>
    <row r="842" spans="1:10" ht="18" customHeight="1">
      <c r="A842" s="3" t="s">
        <v>120</v>
      </c>
      <c r="D842" s="16">
        <v>46023</v>
      </c>
      <c r="E842" s="16"/>
      <c r="F842" s="16">
        <v>0</v>
      </c>
      <c r="G842" s="16"/>
      <c r="H842" s="16">
        <v>29621</v>
      </c>
      <c r="I842" s="53"/>
      <c r="J842" s="16">
        <v>0</v>
      </c>
    </row>
    <row r="843" spans="1:10" ht="8.25" customHeight="1">
      <c r="A843" s="7"/>
      <c r="D843" s="17"/>
      <c r="F843" s="17"/>
      <c r="G843" s="17"/>
      <c r="H843" s="17"/>
      <c r="J843" s="17"/>
    </row>
    <row r="844" spans="1:13" ht="18" customHeight="1">
      <c r="A844" s="3" t="s">
        <v>169</v>
      </c>
      <c r="D844" s="39"/>
      <c r="E844" s="16"/>
      <c r="F844" s="39"/>
      <c r="G844" s="39"/>
      <c r="H844" s="39"/>
      <c r="I844" s="53"/>
      <c r="J844" s="39"/>
      <c r="K844" s="64"/>
      <c r="L844" s="64"/>
      <c r="M844" s="64"/>
    </row>
    <row r="845" spans="1:13" ht="18" customHeight="1">
      <c r="A845" s="3" t="s">
        <v>120</v>
      </c>
      <c r="D845" s="25">
        <v>2360109</v>
      </c>
      <c r="E845" s="25"/>
      <c r="F845" s="25">
        <v>2881174</v>
      </c>
      <c r="G845" s="25"/>
      <c r="H845" s="25">
        <v>1751573</v>
      </c>
      <c r="I845" s="24"/>
      <c r="J845" s="25">
        <f>2985068+1755949</f>
        <v>4741017</v>
      </c>
      <c r="K845" s="64"/>
      <c r="L845" s="64"/>
      <c r="M845" s="64"/>
    </row>
    <row r="846" spans="1:13" ht="8.25" customHeight="1">
      <c r="A846" s="7"/>
      <c r="D846" s="17"/>
      <c r="F846" s="17"/>
      <c r="G846" s="17"/>
      <c r="H846" s="17"/>
      <c r="J846" s="17"/>
      <c r="K846" s="64"/>
      <c r="L846" s="64"/>
      <c r="M846" s="64"/>
    </row>
    <row r="847" spans="1:13" ht="18" customHeight="1">
      <c r="A847" s="4" t="s">
        <v>162</v>
      </c>
      <c r="K847" s="64"/>
      <c r="L847" s="64"/>
      <c r="M847" s="64"/>
    </row>
    <row r="848" spans="1:13" ht="18" customHeight="1">
      <c r="A848" s="4" t="s">
        <v>151</v>
      </c>
      <c r="D848" s="16">
        <v>609367</v>
      </c>
      <c r="E848" s="16"/>
      <c r="F848" s="16">
        <v>643368</v>
      </c>
      <c r="G848" s="16"/>
      <c r="H848" s="16">
        <v>220618</v>
      </c>
      <c r="I848" s="53"/>
      <c r="J848" s="16">
        <f>643368+903669</f>
        <v>1547037</v>
      </c>
      <c r="K848" s="64"/>
      <c r="L848" s="64"/>
      <c r="M848" s="64"/>
    </row>
    <row r="849" spans="1:13" ht="8.25" customHeight="1">
      <c r="A849" s="7"/>
      <c r="D849" s="17"/>
      <c r="F849" s="17"/>
      <c r="G849" s="17"/>
      <c r="H849" s="17"/>
      <c r="J849" s="17"/>
      <c r="K849" s="64"/>
      <c r="L849" s="64"/>
      <c r="M849" s="64"/>
    </row>
    <row r="850" spans="1:13" ht="18" customHeight="1">
      <c r="A850" s="4" t="s">
        <v>405</v>
      </c>
      <c r="K850" s="64"/>
      <c r="L850" s="64"/>
      <c r="M850" s="64"/>
    </row>
    <row r="851" spans="1:13" ht="18" customHeight="1">
      <c r="A851" s="4" t="s">
        <v>151</v>
      </c>
      <c r="D851" s="16">
        <v>219832</v>
      </c>
      <c r="E851" s="16"/>
      <c r="F851" s="16">
        <v>219972</v>
      </c>
      <c r="G851" s="16"/>
      <c r="H851" s="16">
        <v>166583</v>
      </c>
      <c r="I851" s="53"/>
      <c r="J851" s="16">
        <v>226116</v>
      </c>
      <c r="K851" s="15"/>
      <c r="L851" s="64"/>
      <c r="M851" s="64"/>
    </row>
    <row r="852" spans="1:13" ht="8.25" customHeight="1">
      <c r="A852" s="7"/>
      <c r="D852" s="17"/>
      <c r="F852" s="17"/>
      <c r="G852" s="17"/>
      <c r="H852" s="17"/>
      <c r="J852" s="17"/>
      <c r="K852" s="64"/>
      <c r="L852" s="64"/>
      <c r="M852" s="64"/>
    </row>
    <row r="853" spans="1:13" ht="18" customHeight="1">
      <c r="A853" s="4" t="s">
        <v>353</v>
      </c>
      <c r="K853" s="64"/>
      <c r="L853" s="64"/>
      <c r="M853" s="64"/>
    </row>
    <row r="854" spans="1:13" ht="18" customHeight="1">
      <c r="A854" s="4" t="s">
        <v>151</v>
      </c>
      <c r="D854" s="16">
        <v>40568</v>
      </c>
      <c r="E854" s="16"/>
      <c r="F854" s="16">
        <v>54446</v>
      </c>
      <c r="G854" s="16"/>
      <c r="H854" s="16">
        <v>21117</v>
      </c>
      <c r="I854" s="53"/>
      <c r="J854" s="16">
        <v>53610</v>
      </c>
      <c r="K854" s="15"/>
      <c r="L854" s="64"/>
      <c r="M854" s="64"/>
    </row>
    <row r="855" spans="1:13" ht="8.25" customHeight="1">
      <c r="A855" s="7"/>
      <c r="D855" s="17"/>
      <c r="F855" s="17"/>
      <c r="G855" s="17"/>
      <c r="H855" s="17"/>
      <c r="J855" s="17"/>
      <c r="K855" s="64"/>
      <c r="L855" s="64"/>
      <c r="M855" s="64"/>
    </row>
    <row r="856" spans="1:13" ht="18" customHeight="1">
      <c r="A856" s="3" t="s">
        <v>327</v>
      </c>
      <c r="K856" s="64"/>
      <c r="L856" s="64"/>
      <c r="M856" s="64"/>
    </row>
    <row r="857" spans="1:13" ht="18" customHeight="1">
      <c r="A857" s="3" t="s">
        <v>120</v>
      </c>
      <c r="D857" s="25">
        <v>55383</v>
      </c>
      <c r="E857" s="69"/>
      <c r="F857" s="25">
        <v>95000</v>
      </c>
      <c r="G857" s="25"/>
      <c r="H857" s="25">
        <v>115719</v>
      </c>
      <c r="I857" s="24"/>
      <c r="J857" s="25">
        <v>95000</v>
      </c>
      <c r="K857" s="64"/>
      <c r="L857" s="64"/>
      <c r="M857" s="64"/>
    </row>
    <row r="858" spans="1:13" ht="8.25" customHeight="1">
      <c r="A858" s="7"/>
      <c r="D858" s="17"/>
      <c r="F858" s="17"/>
      <c r="G858" s="17"/>
      <c r="H858" s="17"/>
      <c r="J858" s="17"/>
      <c r="K858" s="64"/>
      <c r="L858" s="64"/>
      <c r="M858" s="64"/>
    </row>
    <row r="859" spans="1:13" ht="18" customHeight="1">
      <c r="A859" s="4" t="s">
        <v>229</v>
      </c>
      <c r="K859" s="64"/>
      <c r="L859" s="64"/>
      <c r="M859" s="64"/>
    </row>
    <row r="860" spans="1:13" ht="18" customHeight="1">
      <c r="A860" s="3" t="s">
        <v>120</v>
      </c>
      <c r="D860" s="24">
        <v>57410</v>
      </c>
      <c r="E860" s="53"/>
      <c r="F860" s="16">
        <v>94234</v>
      </c>
      <c r="G860" s="16"/>
      <c r="H860" s="16">
        <v>12336</v>
      </c>
      <c r="I860" s="53"/>
      <c r="J860" s="16">
        <v>161010</v>
      </c>
      <c r="K860" s="64"/>
      <c r="L860" s="64"/>
      <c r="M860" s="64"/>
    </row>
    <row r="861" spans="1:13" ht="8.25" customHeight="1">
      <c r="A861" s="7"/>
      <c r="D861" s="17"/>
      <c r="F861" s="17"/>
      <c r="G861" s="17"/>
      <c r="H861" s="17"/>
      <c r="J861" s="17"/>
      <c r="K861" s="64"/>
      <c r="L861" s="64"/>
      <c r="M861" s="64"/>
    </row>
    <row r="862" spans="1:13" ht="18" customHeight="1">
      <c r="A862" s="4" t="s">
        <v>438</v>
      </c>
      <c r="D862" s="24"/>
      <c r="E862" s="53"/>
      <c r="F862" s="16"/>
      <c r="G862" s="16"/>
      <c r="H862" s="16"/>
      <c r="I862" s="53"/>
      <c r="J862" s="16"/>
      <c r="K862" s="64"/>
      <c r="L862" s="64"/>
      <c r="M862" s="64"/>
    </row>
    <row r="863" spans="1:13" ht="18" customHeight="1">
      <c r="A863" s="3" t="s">
        <v>120</v>
      </c>
      <c r="D863" s="24">
        <v>0</v>
      </c>
      <c r="E863" s="53"/>
      <c r="F863" s="16">
        <v>0</v>
      </c>
      <c r="G863" s="16"/>
      <c r="H863" s="16">
        <v>0</v>
      </c>
      <c r="I863" s="53"/>
      <c r="J863" s="16">
        <v>584427</v>
      </c>
      <c r="K863" s="64"/>
      <c r="L863" s="64"/>
      <c r="M863" s="64"/>
    </row>
    <row r="864" spans="1:13" ht="8.25" customHeight="1">
      <c r="A864" s="7"/>
      <c r="D864" s="17"/>
      <c r="F864" s="17"/>
      <c r="G864" s="17"/>
      <c r="H864" s="17"/>
      <c r="J864" s="17"/>
      <c r="K864" s="64"/>
      <c r="L864" s="64"/>
      <c r="M864" s="64"/>
    </row>
    <row r="865" spans="1:13" ht="18" customHeight="1">
      <c r="A865" s="3" t="s">
        <v>168</v>
      </c>
      <c r="K865" s="64"/>
      <c r="L865" s="64"/>
      <c r="M865" s="64"/>
    </row>
    <row r="866" spans="1:13" ht="18" customHeight="1">
      <c r="A866" s="3" t="s">
        <v>120</v>
      </c>
      <c r="D866" s="25">
        <v>783495</v>
      </c>
      <c r="E866" s="25"/>
      <c r="F866" s="25">
        <v>852920</v>
      </c>
      <c r="G866" s="25"/>
      <c r="H866" s="25">
        <v>1076704</v>
      </c>
      <c r="I866" s="24"/>
      <c r="J866" s="25">
        <v>959874</v>
      </c>
      <c r="K866" s="64"/>
      <c r="L866" s="64"/>
      <c r="M866" s="64"/>
    </row>
    <row r="867" spans="1:13" ht="8.25" customHeight="1">
      <c r="A867" s="7"/>
      <c r="D867" s="17"/>
      <c r="F867" s="17"/>
      <c r="G867" s="17"/>
      <c r="H867" s="17"/>
      <c r="J867" s="17"/>
      <c r="K867" s="64"/>
      <c r="L867" s="64"/>
      <c r="M867" s="64"/>
    </row>
    <row r="868" spans="1:13" ht="18" customHeight="1">
      <c r="A868" s="4" t="s">
        <v>338</v>
      </c>
      <c r="D868" s="17"/>
      <c r="K868" s="64"/>
      <c r="L868" s="64"/>
      <c r="M868" s="64"/>
    </row>
    <row r="869" spans="1:13" ht="18" customHeight="1">
      <c r="A869" s="3" t="s">
        <v>120</v>
      </c>
      <c r="D869" s="25">
        <v>33723</v>
      </c>
      <c r="F869" s="25">
        <v>0</v>
      </c>
      <c r="G869" s="25"/>
      <c r="H869" s="25">
        <v>2630</v>
      </c>
      <c r="J869" s="25">
        <v>0</v>
      </c>
      <c r="K869" s="64"/>
      <c r="L869" s="64"/>
      <c r="M869" s="64"/>
    </row>
    <row r="870" spans="1:13" ht="8.25" customHeight="1">
      <c r="A870" s="7"/>
      <c r="D870" s="17"/>
      <c r="F870" s="17"/>
      <c r="G870" s="17"/>
      <c r="H870" s="17"/>
      <c r="J870" s="17"/>
      <c r="K870" s="64"/>
      <c r="L870" s="64"/>
      <c r="M870" s="64"/>
    </row>
    <row r="871" spans="1:13" ht="18" customHeight="1">
      <c r="A871" s="3" t="s">
        <v>377</v>
      </c>
      <c r="D871" s="17"/>
      <c r="K871" s="64"/>
      <c r="L871" s="64"/>
      <c r="M871" s="64"/>
    </row>
    <row r="872" spans="1:13" ht="18" customHeight="1">
      <c r="A872" s="3" t="s">
        <v>120</v>
      </c>
      <c r="D872" s="24">
        <v>204608</v>
      </c>
      <c r="F872" s="25">
        <v>277307</v>
      </c>
      <c r="G872" s="25"/>
      <c r="H872" s="25">
        <v>134476</v>
      </c>
      <c r="J872" s="25">
        <v>283943</v>
      </c>
      <c r="K872" s="64"/>
      <c r="L872" s="64"/>
      <c r="M872" s="64"/>
    </row>
    <row r="873" spans="1:13" ht="8.25" customHeight="1">
      <c r="A873" s="7"/>
      <c r="D873" s="17"/>
      <c r="F873" s="17"/>
      <c r="G873" s="17"/>
      <c r="H873" s="17"/>
      <c r="J873" s="17"/>
      <c r="K873" s="64"/>
      <c r="L873" s="64"/>
      <c r="M873" s="64"/>
    </row>
    <row r="874" spans="1:13" ht="18" customHeight="1">
      <c r="A874" s="4" t="s">
        <v>406</v>
      </c>
      <c r="D874" s="25"/>
      <c r="E874" s="25"/>
      <c r="F874" s="25"/>
      <c r="G874" s="25"/>
      <c r="H874" s="25"/>
      <c r="I874" s="24"/>
      <c r="J874" s="25"/>
      <c r="K874" s="64"/>
      <c r="L874" s="64"/>
      <c r="M874" s="64"/>
    </row>
    <row r="875" spans="1:13" ht="18" customHeight="1">
      <c r="A875" s="3" t="s">
        <v>151</v>
      </c>
      <c r="D875" s="25">
        <v>193142</v>
      </c>
      <c r="E875" s="25"/>
      <c r="F875" s="25">
        <v>269415</v>
      </c>
      <c r="G875" s="25"/>
      <c r="H875" s="25">
        <v>119857</v>
      </c>
      <c r="I875" s="24"/>
      <c r="J875" s="25">
        <v>389722</v>
      </c>
      <c r="K875" s="64"/>
      <c r="L875" s="64"/>
      <c r="M875" s="64"/>
    </row>
    <row r="876" spans="1:13" ht="8.25" customHeight="1">
      <c r="A876" s="7"/>
      <c r="D876" s="17"/>
      <c r="F876" s="17"/>
      <c r="G876" s="17"/>
      <c r="H876" s="17"/>
      <c r="J876" s="17"/>
      <c r="K876" s="64"/>
      <c r="L876" s="64"/>
      <c r="M876" s="64"/>
    </row>
    <row r="877" spans="1:10" ht="18" customHeight="1">
      <c r="A877" s="80" t="s">
        <v>0</v>
      </c>
      <c r="B877" s="80"/>
      <c r="C877" s="80"/>
      <c r="D877" s="80"/>
      <c r="E877" s="80"/>
      <c r="F877" s="80"/>
      <c r="G877" s="80"/>
      <c r="H877" s="80"/>
      <c r="I877" s="80"/>
      <c r="J877" s="80"/>
    </row>
    <row r="878" spans="1:10" ht="18" customHeight="1">
      <c r="A878" s="80" t="s">
        <v>429</v>
      </c>
      <c r="B878" s="80"/>
      <c r="C878" s="80"/>
      <c r="D878" s="80"/>
      <c r="E878" s="80"/>
      <c r="F878" s="80"/>
      <c r="G878" s="80"/>
      <c r="H878" s="80"/>
      <c r="I878" s="80"/>
      <c r="J878" s="80"/>
    </row>
    <row r="879" spans="1:10" ht="18" customHeight="1">
      <c r="A879" s="80" t="s">
        <v>420</v>
      </c>
      <c r="B879" s="80"/>
      <c r="C879" s="80"/>
      <c r="D879" s="80"/>
      <c r="E879" s="80"/>
      <c r="F879" s="80"/>
      <c r="G879" s="80"/>
      <c r="H879" s="80"/>
      <c r="I879" s="80"/>
      <c r="J879" s="80"/>
    </row>
    <row r="880" spans="1:10" ht="18" customHeight="1">
      <c r="A880" s="80" t="s">
        <v>150</v>
      </c>
      <c r="B880" s="80"/>
      <c r="C880" s="80"/>
      <c r="D880" s="80"/>
      <c r="E880" s="80"/>
      <c r="F880" s="80"/>
      <c r="G880" s="80"/>
      <c r="H880" s="80"/>
      <c r="I880" s="80"/>
      <c r="J880" s="80"/>
    </row>
    <row r="881" spans="1:10" ht="18" customHeight="1">
      <c r="A881" s="7" t="s">
        <v>13</v>
      </c>
      <c r="B881" s="2"/>
      <c r="C881" s="2"/>
      <c r="D881" s="2" t="s">
        <v>204</v>
      </c>
      <c r="F881" s="2" t="s">
        <v>52</v>
      </c>
      <c r="G881" s="2"/>
      <c r="H881" s="2" t="s">
        <v>204</v>
      </c>
      <c r="I881" s="4"/>
      <c r="J881" s="2" t="s">
        <v>53</v>
      </c>
    </row>
    <row r="882" spans="1:10" ht="18" customHeight="1">
      <c r="A882" s="7" t="s">
        <v>436</v>
      </c>
      <c r="D882" s="14" t="s">
        <v>368</v>
      </c>
      <c r="F882" s="14" t="s">
        <v>383</v>
      </c>
      <c r="G882" s="17"/>
      <c r="H882" s="18" t="s">
        <v>418</v>
      </c>
      <c r="I882" s="4"/>
      <c r="J882" s="14" t="s">
        <v>419</v>
      </c>
    </row>
    <row r="883" spans="1:13" ht="18" customHeight="1">
      <c r="A883" s="3" t="s">
        <v>199</v>
      </c>
      <c r="K883" s="64"/>
      <c r="L883" s="64"/>
      <c r="M883" s="64"/>
    </row>
    <row r="884" spans="1:13" ht="18" customHeight="1">
      <c r="A884" s="3" t="s">
        <v>151</v>
      </c>
      <c r="D884" s="22">
        <v>616693</v>
      </c>
      <c r="E884" s="22"/>
      <c r="F884" s="22">
        <v>518476</v>
      </c>
      <c r="G884" s="22"/>
      <c r="H884" s="22">
        <v>-242381</v>
      </c>
      <c r="I884" s="8"/>
      <c r="J884" s="22">
        <v>464908</v>
      </c>
      <c r="K884" s="64"/>
      <c r="L884" s="64"/>
      <c r="M884" s="64"/>
    </row>
    <row r="885" spans="1:13" ht="8.25" customHeight="1">
      <c r="A885" s="7"/>
      <c r="D885" s="17"/>
      <c r="F885" s="17"/>
      <c r="G885" s="17"/>
      <c r="H885" s="17"/>
      <c r="J885" s="17"/>
      <c r="K885" s="64"/>
      <c r="L885" s="64"/>
      <c r="M885" s="64"/>
    </row>
    <row r="886" spans="1:13" ht="18" customHeight="1">
      <c r="A886" s="3" t="s">
        <v>200</v>
      </c>
      <c r="K886" s="64"/>
      <c r="L886" s="64"/>
      <c r="M886" s="64"/>
    </row>
    <row r="887" spans="1:13" ht="18" customHeight="1">
      <c r="A887" s="3" t="s">
        <v>152</v>
      </c>
      <c r="C887" s="16"/>
      <c r="D887" s="24">
        <v>109740</v>
      </c>
      <c r="E887" s="25"/>
      <c r="F887" s="25">
        <v>192357</v>
      </c>
      <c r="G887" s="25"/>
      <c r="H887" s="25">
        <v>-11984</v>
      </c>
      <c r="I887" s="24"/>
      <c r="J887" s="25">
        <v>200456</v>
      </c>
      <c r="K887" s="64"/>
      <c r="L887" s="64"/>
      <c r="M887" s="64"/>
    </row>
    <row r="888" spans="1:13" ht="8.25" customHeight="1">
      <c r="A888" s="7"/>
      <c r="D888" s="17"/>
      <c r="F888" s="17"/>
      <c r="G888" s="17"/>
      <c r="H888" s="17"/>
      <c r="J888" s="17"/>
      <c r="K888" s="64"/>
      <c r="L888" s="64"/>
      <c r="M888" s="64"/>
    </row>
    <row r="889" spans="1:13" ht="18" customHeight="1">
      <c r="A889" s="4" t="s">
        <v>402</v>
      </c>
      <c r="K889" s="64"/>
      <c r="L889" s="64"/>
      <c r="M889" s="64"/>
    </row>
    <row r="890" spans="1:13" ht="18" customHeight="1">
      <c r="A890" s="4" t="s">
        <v>151</v>
      </c>
      <c r="D890" s="16">
        <v>2986153</v>
      </c>
      <c r="E890" s="16"/>
      <c r="F890" s="16">
        <v>1011919</v>
      </c>
      <c r="G890" s="16"/>
      <c r="H890" s="16">
        <v>2181701</v>
      </c>
      <c r="I890" s="53"/>
      <c r="J890" s="16">
        <v>1011919</v>
      </c>
      <c r="K890" s="64"/>
      <c r="L890" s="64"/>
      <c r="M890" s="64"/>
    </row>
    <row r="891" spans="1:13" ht="8.25" customHeight="1">
      <c r="A891" s="7"/>
      <c r="D891" s="17"/>
      <c r="F891" s="17"/>
      <c r="G891" s="17"/>
      <c r="H891" s="17"/>
      <c r="J891" s="17"/>
      <c r="K891" s="64"/>
      <c r="L891" s="64"/>
      <c r="M891" s="64"/>
    </row>
    <row r="892" spans="1:13" ht="18" customHeight="1">
      <c r="A892" s="4" t="s">
        <v>381</v>
      </c>
      <c r="K892" s="64"/>
      <c r="L892" s="64"/>
      <c r="M892" s="64"/>
    </row>
    <row r="893" spans="1:13" ht="18" customHeight="1">
      <c r="A893" s="4" t="s">
        <v>151</v>
      </c>
      <c r="D893" s="16">
        <v>1479719</v>
      </c>
      <c r="E893" s="16"/>
      <c r="F893" s="16">
        <v>1654271</v>
      </c>
      <c r="G893" s="16"/>
      <c r="H893" s="16">
        <v>704078</v>
      </c>
      <c r="I893" s="53"/>
      <c r="J893" s="16">
        <v>1654271</v>
      </c>
      <c r="K893" s="64"/>
      <c r="L893" s="64"/>
      <c r="M893" s="64"/>
    </row>
    <row r="894" spans="1:13" ht="8.25" customHeight="1">
      <c r="A894" s="7"/>
      <c r="D894" s="17"/>
      <c r="F894" s="40"/>
      <c r="G894" s="40"/>
      <c r="H894" s="40"/>
      <c r="I894" s="67"/>
      <c r="J894" s="40"/>
      <c r="K894" s="64"/>
      <c r="L894" s="64"/>
      <c r="M894" s="64"/>
    </row>
    <row r="895" spans="1:13" ht="18" customHeight="1">
      <c r="A895" s="4" t="s">
        <v>439</v>
      </c>
      <c r="D895" s="15"/>
      <c r="E895" s="15"/>
      <c r="F895" s="15"/>
      <c r="G895" s="15"/>
      <c r="H895" s="15"/>
      <c r="I895" s="52"/>
      <c r="J895" s="15"/>
      <c r="K895" s="64"/>
      <c r="L895" s="64"/>
      <c r="M895" s="64"/>
    </row>
    <row r="896" spans="1:13" ht="18" customHeight="1">
      <c r="A896" s="4" t="s">
        <v>151</v>
      </c>
      <c r="D896" s="25">
        <v>0</v>
      </c>
      <c r="E896" s="15"/>
      <c r="F896" s="25">
        <v>0</v>
      </c>
      <c r="G896" s="15"/>
      <c r="H896" s="25">
        <v>0</v>
      </c>
      <c r="I896" s="52"/>
      <c r="J896" s="25">
        <v>812929</v>
      </c>
      <c r="K896" s="64"/>
      <c r="L896" s="64"/>
      <c r="M896" s="64"/>
    </row>
    <row r="897" spans="1:13" ht="8.25" customHeight="1">
      <c r="A897" s="7"/>
      <c r="D897" s="17"/>
      <c r="F897" s="40"/>
      <c r="G897" s="40"/>
      <c r="H897" s="40"/>
      <c r="I897" s="67"/>
      <c r="J897" s="40"/>
      <c r="K897" s="64"/>
      <c r="L897" s="64"/>
      <c r="M897" s="64"/>
    </row>
    <row r="898" spans="1:13" ht="18" customHeight="1">
      <c r="A898" s="3" t="s">
        <v>201</v>
      </c>
      <c r="D898" s="17"/>
      <c r="K898" s="64"/>
      <c r="L898" s="64"/>
      <c r="M898" s="64"/>
    </row>
    <row r="899" spans="1:13" ht="18" customHeight="1">
      <c r="A899" s="3" t="s">
        <v>120</v>
      </c>
      <c r="D899" s="25">
        <v>152269</v>
      </c>
      <c r="E899" s="25"/>
      <c r="F899" s="25">
        <v>0</v>
      </c>
      <c r="G899" s="25"/>
      <c r="H899" s="16">
        <v>147876</v>
      </c>
      <c r="I899" s="24"/>
      <c r="J899" s="25">
        <v>0</v>
      </c>
      <c r="K899" s="64"/>
      <c r="L899" s="64"/>
      <c r="M899" s="64"/>
    </row>
    <row r="900" spans="1:13" ht="8.25" customHeight="1">
      <c r="A900" s="7"/>
      <c r="D900" s="17"/>
      <c r="F900" s="17"/>
      <c r="G900" s="17"/>
      <c r="H900" s="17"/>
      <c r="J900" s="17"/>
      <c r="K900" s="64"/>
      <c r="L900" s="64"/>
      <c r="M900" s="64"/>
    </row>
    <row r="901" spans="1:13" ht="18" customHeight="1">
      <c r="A901" s="3" t="s">
        <v>328</v>
      </c>
      <c r="K901" s="64"/>
      <c r="L901" s="64"/>
      <c r="M901" s="64"/>
    </row>
    <row r="902" spans="1:13" ht="18" customHeight="1">
      <c r="A902" s="3" t="s">
        <v>120</v>
      </c>
      <c r="D902" s="24">
        <v>808</v>
      </c>
      <c r="E902" s="25"/>
      <c r="F902" s="24">
        <v>0</v>
      </c>
      <c r="G902" s="24"/>
      <c r="H902" s="24">
        <v>0</v>
      </c>
      <c r="I902" s="24"/>
      <c r="J902" s="24">
        <v>0</v>
      </c>
      <c r="K902" s="64"/>
      <c r="L902" s="64"/>
      <c r="M902" s="64"/>
    </row>
    <row r="903" spans="1:13" ht="8.25" customHeight="1">
      <c r="A903" s="7"/>
      <c r="D903" s="17"/>
      <c r="F903" s="17"/>
      <c r="G903" s="17"/>
      <c r="H903" s="17"/>
      <c r="J903" s="17"/>
      <c r="K903" s="64"/>
      <c r="L903" s="64"/>
      <c r="M903" s="64"/>
    </row>
    <row r="904" spans="1:13" ht="18" customHeight="1">
      <c r="A904" s="3" t="s">
        <v>329</v>
      </c>
      <c r="K904" s="64"/>
      <c r="L904" s="64"/>
      <c r="M904" s="64"/>
    </row>
    <row r="905" spans="1:13" ht="18" customHeight="1">
      <c r="A905" s="3" t="s">
        <v>120</v>
      </c>
      <c r="D905" s="24">
        <v>157311</v>
      </c>
      <c r="E905" s="25"/>
      <c r="F905" s="24">
        <v>0</v>
      </c>
      <c r="G905" s="24"/>
      <c r="H905" s="24">
        <v>116285</v>
      </c>
      <c r="I905" s="24"/>
      <c r="J905" s="24">
        <v>0</v>
      </c>
      <c r="K905" s="64"/>
      <c r="L905" s="64"/>
      <c r="M905" s="64"/>
    </row>
    <row r="906" spans="1:13" ht="8.25" customHeight="1">
      <c r="A906" s="7"/>
      <c r="D906" s="39"/>
      <c r="E906" s="16"/>
      <c r="F906" s="39"/>
      <c r="G906" s="39"/>
      <c r="H906" s="39"/>
      <c r="I906" s="53"/>
      <c r="J906" s="39"/>
      <c r="K906" s="64"/>
      <c r="L906" s="64"/>
      <c r="M906" s="64"/>
    </row>
    <row r="907" spans="1:13" ht="18" customHeight="1">
      <c r="A907" s="3" t="s">
        <v>349</v>
      </c>
      <c r="K907" s="64"/>
      <c r="L907" s="64"/>
      <c r="M907" s="64"/>
    </row>
    <row r="908" spans="1:13" ht="18" customHeight="1">
      <c r="A908" s="3" t="s">
        <v>120</v>
      </c>
      <c r="D908" s="24">
        <v>22769</v>
      </c>
      <c r="E908" s="25"/>
      <c r="F908" s="24">
        <v>0</v>
      </c>
      <c r="G908" s="24"/>
      <c r="H908" s="24">
        <v>19671</v>
      </c>
      <c r="I908" s="24"/>
      <c r="J908" s="24">
        <v>0</v>
      </c>
      <c r="K908" s="64"/>
      <c r="L908" s="64"/>
      <c r="M908" s="64"/>
    </row>
    <row r="909" spans="1:13" ht="8.25" customHeight="1">
      <c r="A909" s="7"/>
      <c r="D909" s="39"/>
      <c r="E909" s="16"/>
      <c r="F909" s="39"/>
      <c r="G909" s="39"/>
      <c r="H909" s="39"/>
      <c r="I909" s="53"/>
      <c r="J909" s="39"/>
      <c r="K909" s="64"/>
      <c r="L909" s="64"/>
      <c r="M909" s="64"/>
    </row>
    <row r="910" spans="1:13" ht="18" customHeight="1">
      <c r="A910" s="3" t="s">
        <v>330</v>
      </c>
      <c r="D910" s="16"/>
      <c r="E910" s="16"/>
      <c r="F910" s="16"/>
      <c r="G910" s="16"/>
      <c r="H910" s="16"/>
      <c r="I910" s="53"/>
      <c r="J910" s="16"/>
      <c r="K910" s="64"/>
      <c r="L910" s="64"/>
      <c r="M910" s="64"/>
    </row>
    <row r="911" spans="1:13" ht="18" customHeight="1">
      <c r="A911" s="3" t="s">
        <v>120</v>
      </c>
      <c r="D911" s="24">
        <v>316006</v>
      </c>
      <c r="E911" s="25"/>
      <c r="F911" s="24">
        <v>0</v>
      </c>
      <c r="G911" s="24"/>
      <c r="H911" s="24">
        <v>302833</v>
      </c>
      <c r="I911" s="24"/>
      <c r="J911" s="24">
        <v>0</v>
      </c>
      <c r="K911" s="16"/>
      <c r="L911" s="64"/>
      <c r="M911" s="64"/>
    </row>
    <row r="912" spans="1:10" ht="8.25" customHeight="1">
      <c r="A912" s="7"/>
      <c r="D912" s="17"/>
      <c r="F912" s="17"/>
      <c r="G912" s="17"/>
      <c r="H912" s="17"/>
      <c r="J912" s="17"/>
    </row>
    <row r="913" spans="1:12" ht="18" customHeight="1">
      <c r="A913" s="4" t="s">
        <v>167</v>
      </c>
      <c r="L913" s="64"/>
    </row>
    <row r="914" spans="1:10" ht="18" customHeight="1">
      <c r="A914" s="4" t="s">
        <v>152</v>
      </c>
      <c r="D914" s="25">
        <v>1176</v>
      </c>
      <c r="E914" s="25"/>
      <c r="F914" s="25">
        <v>57663</v>
      </c>
      <c r="G914" s="25"/>
      <c r="H914" s="25">
        <v>8331</v>
      </c>
      <c r="I914" s="24"/>
      <c r="J914" s="25">
        <v>61163</v>
      </c>
    </row>
    <row r="915" spans="1:10" ht="8.25" customHeight="1">
      <c r="A915" s="7"/>
      <c r="D915" s="17"/>
      <c r="F915" s="40"/>
      <c r="G915" s="40"/>
      <c r="H915" s="40"/>
      <c r="I915" s="67"/>
      <c r="J915" s="40"/>
    </row>
    <row r="916" spans="1:12" ht="18" customHeight="1">
      <c r="A916" s="4" t="s">
        <v>440</v>
      </c>
      <c r="L916" s="64"/>
    </row>
    <row r="917" spans="1:10" ht="18" customHeight="1">
      <c r="A917" s="3" t="s">
        <v>122</v>
      </c>
      <c r="D917" s="24">
        <v>0</v>
      </c>
      <c r="E917" s="16"/>
      <c r="F917" s="16">
        <v>0</v>
      </c>
      <c r="G917" s="16"/>
      <c r="H917" s="16">
        <v>125000</v>
      </c>
      <c r="I917" s="53"/>
      <c r="J917" s="16">
        <v>231976</v>
      </c>
    </row>
    <row r="918" spans="1:10" ht="8.25" customHeight="1">
      <c r="A918" s="7"/>
      <c r="D918" s="17"/>
      <c r="F918" s="40"/>
      <c r="G918" s="40"/>
      <c r="H918" s="40"/>
      <c r="I918" s="67"/>
      <c r="J918" s="40"/>
    </row>
    <row r="919" spans="1:12" ht="18" customHeight="1">
      <c r="A919" s="4" t="s">
        <v>441</v>
      </c>
      <c r="L919" s="64"/>
    </row>
    <row r="920" spans="1:10" ht="18" customHeight="1">
      <c r="A920" s="3" t="s">
        <v>122</v>
      </c>
      <c r="D920" s="24">
        <v>0</v>
      </c>
      <c r="E920" s="16"/>
      <c r="F920" s="16">
        <v>0</v>
      </c>
      <c r="G920" s="16"/>
      <c r="H920" s="16">
        <v>9000</v>
      </c>
      <c r="I920" s="53"/>
      <c r="J920" s="16">
        <v>62186</v>
      </c>
    </row>
    <row r="921" spans="1:10" ht="8.25" customHeight="1">
      <c r="A921" s="3"/>
      <c r="D921" s="17"/>
      <c r="F921" s="40"/>
      <c r="G921" s="40"/>
      <c r="H921" s="40"/>
      <c r="I921" s="67"/>
      <c r="J921" s="40"/>
    </row>
    <row r="922" spans="1:4" ht="18" customHeight="1">
      <c r="A922" s="4" t="s">
        <v>354</v>
      </c>
      <c r="D922" s="64"/>
    </row>
    <row r="923" spans="1:10" ht="18" customHeight="1">
      <c r="A923" s="3" t="s">
        <v>120</v>
      </c>
      <c r="D923" s="24">
        <v>40319</v>
      </c>
      <c r="E923" s="16"/>
      <c r="F923" s="16">
        <v>20123</v>
      </c>
      <c r="G923" s="16"/>
      <c r="H923" s="16">
        <v>15561</v>
      </c>
      <c r="I923" s="53"/>
      <c r="J923" s="16">
        <v>6548</v>
      </c>
    </row>
    <row r="924" spans="1:10" ht="8.25" customHeight="1">
      <c r="A924" s="7"/>
      <c r="D924" s="40"/>
      <c r="F924" s="17"/>
      <c r="G924" s="17"/>
      <c r="H924" s="17"/>
      <c r="J924" s="17"/>
    </row>
    <row r="925" spans="1:10" ht="18" customHeight="1">
      <c r="A925" s="4" t="s">
        <v>331</v>
      </c>
      <c r="D925" s="16"/>
      <c r="E925" s="16"/>
      <c r="F925" s="16"/>
      <c r="G925" s="16"/>
      <c r="H925" s="16"/>
      <c r="I925" s="53"/>
      <c r="J925" s="16"/>
    </row>
    <row r="926" spans="1:10" ht="18" customHeight="1">
      <c r="A926" s="3" t="s">
        <v>120</v>
      </c>
      <c r="D926" s="24">
        <v>13336</v>
      </c>
      <c r="E926" s="16"/>
      <c r="F926" s="16">
        <v>14282</v>
      </c>
      <c r="G926" s="16"/>
      <c r="H926" s="16">
        <v>8562</v>
      </c>
      <c r="I926" s="53"/>
      <c r="J926" s="16">
        <v>0</v>
      </c>
    </row>
    <row r="927" spans="1:10" ht="8.25" customHeight="1">
      <c r="A927" s="7"/>
      <c r="D927" s="41"/>
      <c r="E927" s="15"/>
      <c r="F927" s="41"/>
      <c r="G927" s="41"/>
      <c r="H927" s="41"/>
      <c r="I927" s="52"/>
      <c r="J927" s="41"/>
    </row>
    <row r="928" spans="1:10" ht="18" customHeight="1">
      <c r="A928" s="4" t="s">
        <v>163</v>
      </c>
      <c r="D928" s="17"/>
      <c r="F928" s="17"/>
      <c r="G928" s="17"/>
      <c r="H928" s="17"/>
      <c r="J928" s="17"/>
    </row>
    <row r="929" spans="1:10" ht="18" customHeight="1">
      <c r="A929" s="4" t="s">
        <v>152</v>
      </c>
      <c r="D929" s="16">
        <v>276189</v>
      </c>
      <c r="E929" s="16"/>
      <c r="F929" s="16">
        <v>415210</v>
      </c>
      <c r="G929" s="16"/>
      <c r="H929" s="16">
        <v>229079</v>
      </c>
      <c r="I929" s="53"/>
      <c r="J929" s="16">
        <f>149378+276837</f>
        <v>426215</v>
      </c>
    </row>
    <row r="930" spans="1:10" ht="8.25" customHeight="1">
      <c r="A930" s="7"/>
      <c r="D930" s="41"/>
      <c r="E930" s="15"/>
      <c r="F930" s="41"/>
      <c r="G930" s="41"/>
      <c r="H930" s="41"/>
      <c r="I930" s="52"/>
      <c r="J930" s="41"/>
    </row>
    <row r="931" spans="1:10" ht="18" customHeight="1">
      <c r="A931" s="80" t="s">
        <v>0</v>
      </c>
      <c r="B931" s="80"/>
      <c r="C931" s="80"/>
      <c r="D931" s="80"/>
      <c r="E931" s="80"/>
      <c r="F931" s="80"/>
      <c r="G931" s="80"/>
      <c r="H931" s="80"/>
      <c r="I931" s="80"/>
      <c r="J931" s="80"/>
    </row>
    <row r="932" spans="1:10" ht="18" customHeight="1">
      <c r="A932" s="80" t="s">
        <v>429</v>
      </c>
      <c r="B932" s="80"/>
      <c r="C932" s="80"/>
      <c r="D932" s="80"/>
      <c r="E932" s="80"/>
      <c r="F932" s="80"/>
      <c r="G932" s="80"/>
      <c r="H932" s="80"/>
      <c r="I932" s="80"/>
      <c r="J932" s="80"/>
    </row>
    <row r="933" spans="1:10" ht="18" customHeight="1">
      <c r="A933" s="80" t="s">
        <v>420</v>
      </c>
      <c r="B933" s="80"/>
      <c r="C933" s="80"/>
      <c r="D933" s="80"/>
      <c r="E933" s="80"/>
      <c r="F933" s="80"/>
      <c r="G933" s="80"/>
      <c r="H933" s="80"/>
      <c r="I933" s="80"/>
      <c r="J933" s="80"/>
    </row>
    <row r="934" spans="1:10" ht="18" customHeight="1">
      <c r="A934" s="80" t="s">
        <v>150</v>
      </c>
      <c r="B934" s="80"/>
      <c r="C934" s="80"/>
      <c r="D934" s="80"/>
      <c r="E934" s="80"/>
      <c r="F934" s="80"/>
      <c r="G934" s="80"/>
      <c r="H934" s="80"/>
      <c r="I934" s="80"/>
      <c r="J934" s="80"/>
    </row>
    <row r="935" spans="1:10" ht="18" customHeight="1">
      <c r="A935" s="7" t="s">
        <v>13</v>
      </c>
      <c r="B935" s="2"/>
      <c r="C935" s="2"/>
      <c r="D935" s="2" t="s">
        <v>204</v>
      </c>
      <c r="F935" s="2" t="s">
        <v>52</v>
      </c>
      <c r="G935" s="2"/>
      <c r="H935" s="2" t="s">
        <v>204</v>
      </c>
      <c r="I935" s="4"/>
      <c r="J935" s="2" t="s">
        <v>53</v>
      </c>
    </row>
    <row r="936" spans="1:10" ht="18" customHeight="1">
      <c r="A936" s="7" t="s">
        <v>436</v>
      </c>
      <c r="D936" s="14" t="s">
        <v>368</v>
      </c>
      <c r="F936" s="14" t="s">
        <v>383</v>
      </c>
      <c r="G936" s="17"/>
      <c r="H936" s="18" t="s">
        <v>418</v>
      </c>
      <c r="I936" s="4"/>
      <c r="J936" s="14" t="s">
        <v>419</v>
      </c>
    </row>
    <row r="937" spans="1:10" ht="18" customHeight="1">
      <c r="A937" s="3" t="s">
        <v>164</v>
      </c>
      <c r="D937" s="17"/>
      <c r="F937" s="17"/>
      <c r="G937" s="17"/>
      <c r="H937" s="17"/>
      <c r="J937" s="17"/>
    </row>
    <row r="938" spans="1:11" ht="18" customHeight="1">
      <c r="A938" s="4" t="s">
        <v>152</v>
      </c>
      <c r="D938" s="22">
        <v>1452089</v>
      </c>
      <c r="E938" s="15"/>
      <c r="F938" s="8">
        <v>1126145</v>
      </c>
      <c r="G938" s="8"/>
      <c r="H938" s="8">
        <v>846405</v>
      </c>
      <c r="I938" s="52"/>
      <c r="J938" s="8">
        <f>322827+1222599</f>
        <v>1545426</v>
      </c>
      <c r="K938" s="16"/>
    </row>
    <row r="939" spans="1:10" ht="8.25" customHeight="1">
      <c r="A939" s="7"/>
      <c r="D939" s="40"/>
      <c r="F939" s="17"/>
      <c r="G939" s="17"/>
      <c r="H939" s="17"/>
      <c r="J939" s="17"/>
    </row>
    <row r="940" spans="1:10" ht="18" customHeight="1">
      <c r="A940" s="3" t="s">
        <v>165</v>
      </c>
      <c r="D940" s="17"/>
      <c r="F940" s="17"/>
      <c r="G940" s="17"/>
      <c r="H940" s="17"/>
      <c r="J940" s="17"/>
    </row>
    <row r="941" spans="1:10" ht="18" customHeight="1">
      <c r="A941" s="3" t="s">
        <v>122</v>
      </c>
      <c r="D941" s="25">
        <v>509243</v>
      </c>
      <c r="F941" s="25">
        <v>489109</v>
      </c>
      <c r="G941" s="25"/>
      <c r="H941" s="25">
        <v>110757</v>
      </c>
      <c r="J941" s="25">
        <f>12439+463907</f>
        <v>476346</v>
      </c>
    </row>
    <row r="942" spans="1:10" ht="8.25" customHeight="1">
      <c r="A942" s="7"/>
      <c r="D942" s="40"/>
      <c r="F942" s="17"/>
      <c r="G942" s="17"/>
      <c r="H942" s="17"/>
      <c r="J942" s="17"/>
    </row>
    <row r="943" spans="1:12" ht="18" customHeight="1">
      <c r="A943" s="4" t="s">
        <v>442</v>
      </c>
      <c r="L943" s="64"/>
    </row>
    <row r="944" spans="1:10" ht="18" customHeight="1">
      <c r="A944" s="3" t="s">
        <v>122</v>
      </c>
      <c r="D944" s="24">
        <v>0</v>
      </c>
      <c r="E944" s="16"/>
      <c r="F944" s="16">
        <v>0</v>
      </c>
      <c r="G944" s="16"/>
      <c r="H944" s="16">
        <v>210000</v>
      </c>
      <c r="I944" s="53"/>
      <c r="J944" s="16">
        <v>733792</v>
      </c>
    </row>
    <row r="945" spans="1:10" ht="8.25" customHeight="1">
      <c r="A945" s="7"/>
      <c r="D945" s="40"/>
      <c r="F945" s="17"/>
      <c r="G945" s="17"/>
      <c r="H945" s="17"/>
      <c r="J945" s="17"/>
    </row>
    <row r="946" spans="1:12" ht="18" customHeight="1">
      <c r="A946" s="4" t="s">
        <v>443</v>
      </c>
      <c r="L946" s="64"/>
    </row>
    <row r="947" spans="1:10" ht="18" customHeight="1">
      <c r="A947" s="3" t="s">
        <v>122</v>
      </c>
      <c r="D947" s="24">
        <v>0</v>
      </c>
      <c r="E947" s="16"/>
      <c r="F947" s="16">
        <v>0</v>
      </c>
      <c r="G947" s="16"/>
      <c r="H947" s="16">
        <v>0</v>
      </c>
      <c r="I947" s="53"/>
      <c r="J947" s="16">
        <v>181717</v>
      </c>
    </row>
    <row r="948" spans="1:10" ht="8.25" customHeight="1">
      <c r="A948" s="7"/>
      <c r="D948" s="40"/>
      <c r="F948" s="17"/>
      <c r="G948" s="17"/>
      <c r="H948" s="17"/>
      <c r="J948" s="17"/>
    </row>
    <row r="949" spans="1:10" ht="18" customHeight="1">
      <c r="A949" s="4" t="s">
        <v>355</v>
      </c>
      <c r="D949" s="17"/>
      <c r="F949" s="17"/>
      <c r="G949" s="17"/>
      <c r="H949" s="17"/>
      <c r="J949" s="17"/>
    </row>
    <row r="950" spans="1:10" ht="18" customHeight="1">
      <c r="A950" s="4" t="s">
        <v>152</v>
      </c>
      <c r="D950" s="16">
        <v>142859</v>
      </c>
      <c r="E950" s="16"/>
      <c r="F950" s="16">
        <v>49850</v>
      </c>
      <c r="G950" s="16"/>
      <c r="H950" s="16">
        <v>5571</v>
      </c>
      <c r="I950" s="53"/>
      <c r="J950" s="16">
        <v>0</v>
      </c>
    </row>
    <row r="951" spans="1:10" ht="9.75" customHeight="1">
      <c r="A951" s="7"/>
      <c r="D951" s="17"/>
      <c r="F951" s="17"/>
      <c r="G951" s="17"/>
      <c r="H951" s="17"/>
      <c r="J951" s="17"/>
    </row>
    <row r="952" spans="1:10" ht="18" customHeight="1">
      <c r="A952" s="3" t="s">
        <v>166</v>
      </c>
      <c r="D952" s="17"/>
      <c r="F952" s="17"/>
      <c r="G952" s="17"/>
      <c r="H952" s="17"/>
      <c r="J952" s="17"/>
    </row>
    <row r="953" spans="1:12" ht="18" customHeight="1">
      <c r="A953" s="3" t="s">
        <v>122</v>
      </c>
      <c r="D953" s="42">
        <v>689686</v>
      </c>
      <c r="F953" s="42">
        <v>767819</v>
      </c>
      <c r="G953" s="17"/>
      <c r="H953" s="42">
        <v>496872</v>
      </c>
      <c r="J953" s="42">
        <f>100133+805047</f>
        <v>905180</v>
      </c>
      <c r="L953" s="64"/>
    </row>
    <row r="954" spans="1:10" ht="9.75" customHeight="1">
      <c r="A954" s="7"/>
      <c r="D954" s="17"/>
      <c r="F954" s="17"/>
      <c r="G954" s="17"/>
      <c r="H954" s="17"/>
      <c r="J954" s="17"/>
    </row>
    <row r="955" spans="1:10" ht="8.25" customHeight="1">
      <c r="A955" s="7"/>
      <c r="D955" s="17"/>
      <c r="F955" s="17"/>
      <c r="G955" s="17"/>
      <c r="H955" s="17"/>
      <c r="J955" s="17"/>
    </row>
    <row r="956" spans="1:11" ht="18" customHeight="1">
      <c r="A956" s="3" t="s">
        <v>123</v>
      </c>
      <c r="D956" s="20">
        <f>SUM(D791:D955)</f>
        <v>15440722</v>
      </c>
      <c r="E956" s="22"/>
      <c r="F956" s="20">
        <f>SUM(F791:F955)</f>
        <v>11705060</v>
      </c>
      <c r="G956" s="8"/>
      <c r="H956" s="20">
        <f>SUM(H791:H955)</f>
        <v>10135296</v>
      </c>
      <c r="I956" s="8"/>
      <c r="J956" s="20">
        <f>SUM(J791:J955)</f>
        <v>17816788</v>
      </c>
      <c r="K956" s="16"/>
    </row>
    <row r="957" spans="4:10" ht="18" customHeight="1">
      <c r="D957" s="22"/>
      <c r="E957" s="22"/>
      <c r="F957" s="22"/>
      <c r="G957" s="22"/>
      <c r="H957" s="22"/>
      <c r="I957" s="8"/>
      <c r="J957" s="22"/>
    </row>
    <row r="958" spans="1:10" ht="18" customHeight="1" thickBot="1">
      <c r="A958" s="3" t="s">
        <v>43</v>
      </c>
      <c r="D958" s="21">
        <f>D956+D787+D527</f>
        <v>59352100</v>
      </c>
      <c r="E958" s="22"/>
      <c r="F958" s="21">
        <f>F956+F787+F527</f>
        <v>58959113</v>
      </c>
      <c r="G958" s="8"/>
      <c r="H958" s="21">
        <f>H956+H787+H527</f>
        <v>55491981</v>
      </c>
      <c r="I958" s="8"/>
      <c r="J958" s="21">
        <f>J956+J787+J527</f>
        <v>67841997</v>
      </c>
    </row>
    <row r="959" spans="1:10" ht="18" customHeight="1" thickTop="1">
      <c r="A959" s="3"/>
      <c r="D959" s="8"/>
      <c r="E959" s="22"/>
      <c r="F959" s="8"/>
      <c r="G959" s="8"/>
      <c r="H959" s="8"/>
      <c r="I959" s="8"/>
      <c r="J959" s="8"/>
    </row>
    <row r="960" spans="1:13" ht="18" customHeight="1">
      <c r="A960" s="80" t="s">
        <v>0</v>
      </c>
      <c r="B960" s="80"/>
      <c r="C960" s="80"/>
      <c r="D960" s="80"/>
      <c r="E960" s="80"/>
      <c r="F960" s="80"/>
      <c r="G960" s="80"/>
      <c r="H960" s="80"/>
      <c r="I960" s="80"/>
      <c r="J960" s="80"/>
      <c r="K960" s="64"/>
      <c r="L960" s="64"/>
      <c r="M960" s="64"/>
    </row>
    <row r="961" spans="1:13" ht="18" customHeight="1">
      <c r="A961" s="80" t="s">
        <v>429</v>
      </c>
      <c r="B961" s="80"/>
      <c r="C961" s="80"/>
      <c r="D961" s="80"/>
      <c r="E961" s="80"/>
      <c r="F961" s="80"/>
      <c r="G961" s="80"/>
      <c r="H961" s="80"/>
      <c r="I961" s="80"/>
      <c r="J961" s="80"/>
      <c r="K961" s="64"/>
      <c r="L961" s="64"/>
      <c r="M961" s="64"/>
    </row>
    <row r="962" spans="1:13" ht="18" customHeight="1">
      <c r="A962" s="80" t="s">
        <v>420</v>
      </c>
      <c r="B962" s="80"/>
      <c r="C962" s="80"/>
      <c r="D962" s="80"/>
      <c r="E962" s="80"/>
      <c r="F962" s="80"/>
      <c r="G962" s="80"/>
      <c r="H962" s="80"/>
      <c r="I962" s="80"/>
      <c r="J962" s="80"/>
      <c r="K962" s="64"/>
      <c r="L962" s="64"/>
      <c r="M962" s="64"/>
    </row>
    <row r="963" spans="1:13" ht="18" customHeight="1">
      <c r="A963" s="80" t="s">
        <v>150</v>
      </c>
      <c r="B963" s="80"/>
      <c r="C963" s="80"/>
      <c r="D963" s="80"/>
      <c r="E963" s="80"/>
      <c r="F963" s="80"/>
      <c r="G963" s="80"/>
      <c r="H963" s="80"/>
      <c r="I963" s="80"/>
      <c r="J963" s="80"/>
      <c r="K963" s="64"/>
      <c r="L963" s="64"/>
      <c r="M963" s="64"/>
    </row>
    <row r="964" spans="4:13" ht="18" customHeight="1">
      <c r="D964" s="2" t="s">
        <v>204</v>
      </c>
      <c r="F964" s="2" t="s">
        <v>52</v>
      </c>
      <c r="G964" s="2"/>
      <c r="H964" s="2" t="s">
        <v>204</v>
      </c>
      <c r="I964" s="4"/>
      <c r="J964" s="2" t="s">
        <v>53</v>
      </c>
      <c r="K964" s="64"/>
      <c r="L964" s="64"/>
      <c r="M964" s="64"/>
    </row>
    <row r="965" spans="4:13" ht="18" customHeight="1">
      <c r="D965" s="14" t="s">
        <v>368</v>
      </c>
      <c r="F965" s="14" t="s">
        <v>383</v>
      </c>
      <c r="G965" s="17"/>
      <c r="H965" s="18" t="s">
        <v>418</v>
      </c>
      <c r="I965" s="4"/>
      <c r="J965" s="14" t="s">
        <v>419</v>
      </c>
      <c r="K965" s="64"/>
      <c r="L965" s="64"/>
      <c r="M965" s="64"/>
    </row>
    <row r="966" spans="1:13" ht="18" customHeight="1">
      <c r="A966" s="7" t="s">
        <v>187</v>
      </c>
      <c r="D966" s="17"/>
      <c r="F966" s="17"/>
      <c r="G966" s="17"/>
      <c r="H966" s="56"/>
      <c r="I966" s="4"/>
      <c r="J966" s="17"/>
      <c r="K966" s="64"/>
      <c r="L966" s="64"/>
      <c r="M966" s="64"/>
    </row>
    <row r="967" spans="1:13" ht="18" customHeight="1">
      <c r="A967" s="3" t="s">
        <v>44</v>
      </c>
      <c r="D967" s="17"/>
      <c r="F967" s="17"/>
      <c r="G967" s="17"/>
      <c r="H967" s="56"/>
      <c r="I967" s="4"/>
      <c r="J967" s="17"/>
      <c r="K967" s="64"/>
      <c r="L967" s="64"/>
      <c r="M967" s="64"/>
    </row>
    <row r="968" spans="1:10" ht="18" customHeight="1">
      <c r="A968" s="3" t="s">
        <v>103</v>
      </c>
      <c r="D968" s="22">
        <v>0</v>
      </c>
      <c r="E968" s="22"/>
      <c r="F968" s="22">
        <v>0</v>
      </c>
      <c r="G968" s="22"/>
      <c r="H968" s="22">
        <v>27825</v>
      </c>
      <c r="I968" s="8"/>
      <c r="J968" s="12">
        <v>0</v>
      </c>
    </row>
    <row r="969" spans="1:10" ht="18" customHeight="1">
      <c r="A969" s="3" t="s">
        <v>221</v>
      </c>
      <c r="D969" s="25">
        <v>246288</v>
      </c>
      <c r="E969" s="25"/>
      <c r="F969" s="25">
        <v>104508</v>
      </c>
      <c r="G969" s="25"/>
      <c r="H969" s="25">
        <f>92518+124+28620-1</f>
        <v>121261</v>
      </c>
      <c r="I969" s="24"/>
      <c r="J969" s="25">
        <v>27833</v>
      </c>
    </row>
    <row r="970" spans="1:10" ht="18" customHeight="1">
      <c r="A970" s="3" t="s">
        <v>268</v>
      </c>
      <c r="D970" s="24">
        <v>0</v>
      </c>
      <c r="E970" s="25"/>
      <c r="F970" s="24">
        <v>0</v>
      </c>
      <c r="G970" s="6"/>
      <c r="H970" s="24">
        <v>0</v>
      </c>
      <c r="I970" s="24"/>
      <c r="J970" s="24">
        <v>0</v>
      </c>
    </row>
    <row r="971" spans="1:10" ht="18" customHeight="1">
      <c r="A971" s="3" t="s">
        <v>104</v>
      </c>
      <c r="D971" s="24">
        <v>0</v>
      </c>
      <c r="E971" s="25"/>
      <c r="F971" s="24">
        <v>0</v>
      </c>
      <c r="G971" s="6"/>
      <c r="H971" s="24">
        <v>0</v>
      </c>
      <c r="I971" s="24"/>
      <c r="J971" s="24">
        <v>0</v>
      </c>
    </row>
    <row r="972" spans="1:10" ht="18" customHeight="1">
      <c r="A972" s="3" t="s">
        <v>214</v>
      </c>
      <c r="D972" s="28">
        <v>0</v>
      </c>
      <c r="E972" s="1"/>
      <c r="F972" s="28">
        <v>0</v>
      </c>
      <c r="G972" s="6"/>
      <c r="H972" s="28">
        <v>63886</v>
      </c>
      <c r="I972" s="6"/>
      <c r="J972" s="13">
        <v>0</v>
      </c>
    </row>
    <row r="973" spans="1:10" s="11" customFormat="1" ht="18" customHeight="1">
      <c r="A973" s="62" t="s">
        <v>124</v>
      </c>
      <c r="D973" s="43">
        <f>SUM(D968:D972)</f>
        <v>246288</v>
      </c>
      <c r="E973" s="8"/>
      <c r="F973" s="43">
        <f>SUM(F968:F972)</f>
        <v>104508</v>
      </c>
      <c r="G973" s="8"/>
      <c r="H973" s="43">
        <f>SUM(H968:H972)</f>
        <v>212972</v>
      </c>
      <c r="I973" s="8"/>
      <c r="J973" s="43">
        <f>SUM(J968:J972)</f>
        <v>27833</v>
      </c>
    </row>
    <row r="974" spans="1:10" s="11" customFormat="1" ht="9.75" customHeight="1">
      <c r="A974" s="62"/>
      <c r="D974" s="8"/>
      <c r="E974" s="8"/>
      <c r="F974" s="8"/>
      <c r="G974" s="8"/>
      <c r="H974" s="8"/>
      <c r="I974" s="8"/>
      <c r="J974" s="8"/>
    </row>
    <row r="975" spans="1:10" ht="18" customHeight="1">
      <c r="A975" s="3" t="s">
        <v>125</v>
      </c>
      <c r="D975" s="22"/>
      <c r="E975" s="22"/>
      <c r="F975" s="22"/>
      <c r="G975" s="22"/>
      <c r="H975" s="22"/>
      <c r="I975" s="8"/>
      <c r="J975" s="22"/>
    </row>
    <row r="976" spans="1:10" ht="18" customHeight="1" thickBot="1">
      <c r="A976" s="3" t="s">
        <v>126</v>
      </c>
      <c r="D976" s="21">
        <f>SUM(D973)</f>
        <v>246288</v>
      </c>
      <c r="E976" s="22"/>
      <c r="F976" s="21">
        <f>SUM(F973)</f>
        <v>104508</v>
      </c>
      <c r="G976" s="8"/>
      <c r="H976" s="21">
        <f>SUM(H973)</f>
        <v>212972</v>
      </c>
      <c r="I976" s="8"/>
      <c r="J976" s="21">
        <f>SUM(J973)</f>
        <v>27833</v>
      </c>
    </row>
    <row r="977" spans="1:10" ht="15.75" customHeight="1" thickTop="1">
      <c r="A977" s="3"/>
      <c r="D977" s="8"/>
      <c r="E977" s="22"/>
      <c r="F977" s="8"/>
      <c r="G977" s="8"/>
      <c r="H977" s="8"/>
      <c r="I977" s="8"/>
      <c r="J977" s="8"/>
    </row>
    <row r="978" spans="1:10" ht="18" customHeight="1">
      <c r="A978" s="63" t="s">
        <v>46</v>
      </c>
      <c r="D978" s="34"/>
      <c r="E978" s="34"/>
      <c r="F978" s="34"/>
      <c r="G978" s="34"/>
      <c r="H978" s="34"/>
      <c r="I978" s="54"/>
      <c r="J978" s="34"/>
    </row>
    <row r="979" spans="1:10" ht="18" customHeight="1">
      <c r="A979" s="3" t="s">
        <v>127</v>
      </c>
      <c r="D979" s="34"/>
      <c r="E979" s="34"/>
      <c r="F979" s="34"/>
      <c r="G979" s="34"/>
      <c r="H979" s="34"/>
      <c r="I979" s="54"/>
      <c r="J979" s="34"/>
    </row>
    <row r="980" spans="1:10" ht="18" customHeight="1">
      <c r="A980" s="3" t="s">
        <v>128</v>
      </c>
      <c r="D980" s="22">
        <f>3522763-148688</f>
        <v>3374075</v>
      </c>
      <c r="E980" s="22"/>
      <c r="F980" s="22">
        <f>1794068+694255+203876+688667+70806+39498+30809+1120</f>
        <v>3523099</v>
      </c>
      <c r="G980" s="22"/>
      <c r="H980" s="22">
        <f>1481546+507462+89496+471675+59000+26623+27171+525+1</f>
        <v>2663499</v>
      </c>
      <c r="I980" s="8"/>
      <c r="J980" s="22">
        <f>1784734+672052+133843+586892+70800+35544+32761+649</f>
        <v>3317275</v>
      </c>
    </row>
    <row r="981" spans="1:10" ht="18" customHeight="1">
      <c r="A981" s="3" t="s">
        <v>129</v>
      </c>
      <c r="D981" s="1">
        <v>148688</v>
      </c>
      <c r="E981" s="1"/>
      <c r="F981" s="1">
        <v>131264</v>
      </c>
      <c r="G981" s="1"/>
      <c r="H981" s="1">
        <v>92161</v>
      </c>
      <c r="I981" s="6"/>
      <c r="J981" s="1">
        <v>107661</v>
      </c>
    </row>
    <row r="982" spans="1:10" ht="18" customHeight="1">
      <c r="A982" s="3" t="s">
        <v>221</v>
      </c>
      <c r="D982" s="1">
        <v>154253</v>
      </c>
      <c r="E982" s="1"/>
      <c r="F982" s="1">
        <v>169298</v>
      </c>
      <c r="G982" s="1"/>
      <c r="H982" s="1">
        <v>163925</v>
      </c>
      <c r="I982" s="6"/>
      <c r="J982" s="1">
        <v>136137</v>
      </c>
    </row>
    <row r="983" spans="1:10" ht="18" customHeight="1">
      <c r="A983" s="3" t="s">
        <v>103</v>
      </c>
      <c r="D983" s="24">
        <v>0</v>
      </c>
      <c r="E983" s="1"/>
      <c r="F983" s="24">
        <v>0</v>
      </c>
      <c r="G983" s="1"/>
      <c r="H983" s="1">
        <v>513632</v>
      </c>
      <c r="I983" s="6"/>
      <c r="J983" s="24">
        <v>0</v>
      </c>
    </row>
    <row r="984" spans="1:10" ht="18" customHeight="1">
      <c r="A984" s="3" t="s">
        <v>104</v>
      </c>
      <c r="D984" s="29">
        <v>23630</v>
      </c>
      <c r="E984" s="1"/>
      <c r="F984" s="29">
        <f>23062+72</f>
        <v>23134</v>
      </c>
      <c r="G984" s="6"/>
      <c r="H984" s="29">
        <f>3950+1156</f>
        <v>5106</v>
      </c>
      <c r="I984" s="60"/>
      <c r="J984" s="29">
        <f>6200+5912</f>
        <v>12112</v>
      </c>
    </row>
    <row r="985" spans="1:10" ht="18" customHeight="1">
      <c r="A985" s="3" t="s">
        <v>92</v>
      </c>
      <c r="D985" s="32">
        <f>SUM(D980:D984)</f>
        <v>3700646</v>
      </c>
      <c r="E985" s="15"/>
      <c r="F985" s="32">
        <f>SUM(F980:F984)</f>
        <v>3846795</v>
      </c>
      <c r="G985" s="8"/>
      <c r="H985" s="32">
        <f>SUM(H980:H984)</f>
        <v>3438323</v>
      </c>
      <c r="I985" s="52"/>
      <c r="J985" s="32">
        <f>SUM(J980:J984)</f>
        <v>3573185</v>
      </c>
    </row>
    <row r="986" spans="1:10" s="11" customFormat="1" ht="9.75" customHeight="1">
      <c r="A986" s="62"/>
      <c r="D986" s="8"/>
      <c r="E986" s="8"/>
      <c r="F986" s="8"/>
      <c r="G986" s="8"/>
      <c r="H986" s="8"/>
      <c r="I986" s="8"/>
      <c r="J986" s="8"/>
    </row>
    <row r="987" spans="1:10" ht="18" customHeight="1" thickBot="1">
      <c r="A987" s="3" t="s">
        <v>47</v>
      </c>
      <c r="D987" s="21">
        <f>SUM(D985)</f>
        <v>3700646</v>
      </c>
      <c r="E987" s="22"/>
      <c r="F987" s="21">
        <f>SUM(F985)</f>
        <v>3846795</v>
      </c>
      <c r="G987" s="8"/>
      <c r="H987" s="21">
        <f>SUM(H985)</f>
        <v>3438323</v>
      </c>
      <c r="I987" s="8"/>
      <c r="J987" s="21">
        <f>SUM(J985)</f>
        <v>3573185</v>
      </c>
    </row>
    <row r="988" spans="1:10" ht="15.75" customHeight="1" thickTop="1">
      <c r="A988" s="3"/>
      <c r="D988" s="8"/>
      <c r="E988" s="22"/>
      <c r="F988" s="8"/>
      <c r="G988" s="8"/>
      <c r="H988" s="8"/>
      <c r="I988" s="8"/>
      <c r="J988" s="8"/>
    </row>
    <row r="989" spans="1:10" ht="18" customHeight="1">
      <c r="A989" s="3" t="s">
        <v>48</v>
      </c>
      <c r="D989" s="59"/>
      <c r="E989" s="34"/>
      <c r="H989" s="16"/>
      <c r="I989" s="24"/>
      <c r="J989" s="16"/>
    </row>
    <row r="990" spans="1:10" ht="18" customHeight="1">
      <c r="A990" s="3"/>
      <c r="D990" s="59"/>
      <c r="E990" s="34"/>
      <c r="H990" s="16"/>
      <c r="I990" s="24"/>
      <c r="J990" s="16"/>
    </row>
    <row r="991" spans="1:13" ht="18" customHeight="1">
      <c r="A991" s="80" t="s">
        <v>0</v>
      </c>
      <c r="B991" s="80"/>
      <c r="C991" s="80"/>
      <c r="D991" s="80"/>
      <c r="E991" s="80"/>
      <c r="F991" s="80"/>
      <c r="G991" s="80"/>
      <c r="H991" s="80"/>
      <c r="I991" s="80"/>
      <c r="J991" s="80"/>
      <c r="K991" s="64"/>
      <c r="L991" s="64"/>
      <c r="M991" s="64"/>
    </row>
    <row r="992" spans="1:13" ht="18" customHeight="1">
      <c r="A992" s="80" t="s">
        <v>429</v>
      </c>
      <c r="B992" s="80"/>
      <c r="C992" s="80"/>
      <c r="D992" s="80"/>
      <c r="E992" s="80"/>
      <c r="F992" s="80"/>
      <c r="G992" s="80"/>
      <c r="H992" s="80"/>
      <c r="I992" s="80"/>
      <c r="J992" s="80"/>
      <c r="K992" s="64"/>
      <c r="L992" s="64"/>
      <c r="M992" s="64"/>
    </row>
    <row r="993" spans="1:13" ht="18" customHeight="1">
      <c r="A993" s="80" t="s">
        <v>420</v>
      </c>
      <c r="B993" s="80"/>
      <c r="C993" s="80"/>
      <c r="D993" s="80"/>
      <c r="E993" s="80"/>
      <c r="F993" s="80"/>
      <c r="G993" s="80"/>
      <c r="H993" s="80"/>
      <c r="I993" s="80"/>
      <c r="J993" s="80"/>
      <c r="K993" s="64"/>
      <c r="L993" s="64"/>
      <c r="M993" s="64"/>
    </row>
    <row r="994" spans="1:13" ht="18" customHeight="1">
      <c r="A994" s="80" t="s">
        <v>150</v>
      </c>
      <c r="B994" s="80"/>
      <c r="C994" s="80"/>
      <c r="D994" s="80"/>
      <c r="E994" s="80"/>
      <c r="F994" s="80"/>
      <c r="G994" s="80"/>
      <c r="H994" s="80"/>
      <c r="I994" s="80"/>
      <c r="J994" s="80"/>
      <c r="K994" s="64"/>
      <c r="L994" s="64"/>
      <c r="M994" s="64"/>
    </row>
    <row r="995" spans="4:13" ht="18" customHeight="1">
      <c r="D995" s="2" t="s">
        <v>204</v>
      </c>
      <c r="F995" s="2" t="s">
        <v>52</v>
      </c>
      <c r="G995" s="2"/>
      <c r="H995" s="2" t="s">
        <v>204</v>
      </c>
      <c r="I995" s="4"/>
      <c r="J995" s="2" t="s">
        <v>53</v>
      </c>
      <c r="K995" s="64"/>
      <c r="L995" s="64"/>
      <c r="M995" s="64"/>
    </row>
    <row r="996" spans="1:13" ht="18" customHeight="1">
      <c r="A996" s="7" t="s">
        <v>409</v>
      </c>
      <c r="D996" s="14" t="s">
        <v>368</v>
      </c>
      <c r="F996" s="14" t="s">
        <v>383</v>
      </c>
      <c r="G996" s="17"/>
      <c r="H996" s="18" t="s">
        <v>418</v>
      </c>
      <c r="I996" s="4"/>
      <c r="J996" s="14" t="s">
        <v>419</v>
      </c>
      <c r="K996" s="64"/>
      <c r="L996" s="64"/>
      <c r="M996" s="64"/>
    </row>
    <row r="997" spans="1:9" ht="18" customHeight="1">
      <c r="A997" s="3" t="s">
        <v>130</v>
      </c>
      <c r="D997" s="59"/>
      <c r="E997" s="34"/>
      <c r="I997" s="54"/>
    </row>
    <row r="998" spans="1:10" ht="18" customHeight="1">
      <c r="A998" s="3" t="s">
        <v>91</v>
      </c>
      <c r="D998" s="22">
        <v>2114855</v>
      </c>
      <c r="E998" s="22"/>
      <c r="F998" s="22">
        <f>1995167+669+1</f>
        <v>1995837</v>
      </c>
      <c r="G998" s="22"/>
      <c r="H998" s="22">
        <f>2021248+653</f>
        <v>2021901</v>
      </c>
      <c r="I998" s="8"/>
      <c r="J998" s="22">
        <f>1995167+630+868</f>
        <v>1996665</v>
      </c>
    </row>
    <row r="999" spans="1:10" ht="18" customHeight="1">
      <c r="A999" s="3" t="s">
        <v>221</v>
      </c>
      <c r="D999" s="6">
        <f>161465+45038</f>
        <v>206503</v>
      </c>
      <c r="E999" s="22"/>
      <c r="F999" s="6">
        <f>183513+217</f>
        <v>183730</v>
      </c>
      <c r="G999" s="6"/>
      <c r="H999" s="6">
        <f>141724+55955+271+709</f>
        <v>198659</v>
      </c>
      <c r="I999" s="8"/>
      <c r="J999" s="6">
        <f>161566+399</f>
        <v>161965</v>
      </c>
    </row>
    <row r="1000" spans="1:10" ht="18" customHeight="1">
      <c r="A1000" s="3" t="s">
        <v>104</v>
      </c>
      <c r="D1000" s="30">
        <f>284048+12578</f>
        <v>296626</v>
      </c>
      <c r="E1000" s="1"/>
      <c r="F1000" s="30">
        <f>5329+18919+71959+231442+11403</f>
        <v>339052</v>
      </c>
      <c r="G1000" s="6"/>
      <c r="H1000" s="23">
        <f>18697+12601+70335+109286+1636-1</f>
        <v>212554</v>
      </c>
      <c r="I1000" s="6"/>
      <c r="J1000" s="30">
        <f>15499+85832+125158+3173</f>
        <v>229662</v>
      </c>
    </row>
    <row r="1001" spans="1:10" ht="18" customHeight="1">
      <c r="A1001" s="3" t="s">
        <v>92</v>
      </c>
      <c r="D1001" s="22">
        <f>SUM(D997:D1000)</f>
        <v>2617984</v>
      </c>
      <c r="E1001" s="58"/>
      <c r="F1001" s="22">
        <f>SUM(F997:F1000)</f>
        <v>2518619</v>
      </c>
      <c r="G1001" s="22"/>
      <c r="H1001" s="22">
        <f>SUM(H997:H1000)</f>
        <v>2433114</v>
      </c>
      <c r="I1001" s="61"/>
      <c r="J1001" s="22">
        <f>SUM(J997:J1000)</f>
        <v>2388292</v>
      </c>
    </row>
    <row r="1002" spans="1:10" ht="15.75" customHeight="1">
      <c r="A1002" s="3"/>
      <c r="D1002" s="8"/>
      <c r="E1002" s="22"/>
      <c r="F1002" s="8"/>
      <c r="G1002" s="8"/>
      <c r="H1002" s="8"/>
      <c r="I1002" s="8"/>
      <c r="J1002" s="8"/>
    </row>
    <row r="1003" spans="1:10" ht="18" customHeight="1">
      <c r="A1003" s="3" t="s">
        <v>227</v>
      </c>
      <c r="D1003" s="34"/>
      <c r="E1003" s="34"/>
      <c r="F1003" s="34"/>
      <c r="G1003" s="34"/>
      <c r="H1003" s="34"/>
      <c r="I1003" s="54"/>
      <c r="J1003" s="34"/>
    </row>
    <row r="1004" spans="1:10" ht="18" customHeight="1">
      <c r="A1004" s="3" t="s">
        <v>221</v>
      </c>
      <c r="D1004" s="25">
        <v>107818</v>
      </c>
      <c r="E1004" s="34"/>
      <c r="F1004" s="25">
        <f>117671+103</f>
        <v>117774</v>
      </c>
      <c r="G1004" s="25"/>
      <c r="H1004" s="25">
        <f>91644+178+34086</f>
        <v>125908</v>
      </c>
      <c r="I1004" s="54"/>
      <c r="J1004" s="25">
        <f>82480+196</f>
        <v>82676</v>
      </c>
    </row>
    <row r="1005" spans="1:10" ht="18" customHeight="1">
      <c r="A1005" s="3" t="s">
        <v>104</v>
      </c>
      <c r="D1005" s="28">
        <v>10029710</v>
      </c>
      <c r="E1005" s="24"/>
      <c r="F1005" s="28">
        <f>9467819-F1004</f>
        <v>9350045</v>
      </c>
      <c r="G1005" s="24"/>
      <c r="H1005" s="28">
        <f>226475+422478+467000+5838853+439381+825515+1453</f>
        <v>8221155</v>
      </c>
      <c r="I1005" s="24"/>
      <c r="J1005" s="28">
        <f>268150+563304+571034+7145516+511510+979279-1</f>
        <v>10038792</v>
      </c>
    </row>
    <row r="1006" spans="1:10" ht="18" customHeight="1">
      <c r="A1006" s="3" t="s">
        <v>92</v>
      </c>
      <c r="D1006" s="22">
        <f>SUM(D1004:D1005)</f>
        <v>10137528</v>
      </c>
      <c r="E1006" s="58"/>
      <c r="F1006" s="22">
        <f>SUM(F1004:F1005)</f>
        <v>9467819</v>
      </c>
      <c r="G1006" s="22"/>
      <c r="H1006" s="22">
        <f>SUM(H1004:H1005)</f>
        <v>8347063</v>
      </c>
      <c r="I1006" s="61"/>
      <c r="J1006" s="22">
        <f>SUM(J1004:J1005)</f>
        <v>10121468</v>
      </c>
    </row>
    <row r="1007" spans="1:10" ht="15.75" customHeight="1">
      <c r="A1007" s="3"/>
      <c r="D1007" s="8"/>
      <c r="E1007" s="22"/>
      <c r="F1007" s="8"/>
      <c r="G1007" s="8"/>
      <c r="H1007" s="8"/>
      <c r="I1007" s="8"/>
      <c r="J1007" s="8"/>
    </row>
    <row r="1008" spans="1:10" ht="18" customHeight="1">
      <c r="A1008" s="3" t="s">
        <v>228</v>
      </c>
      <c r="D1008" s="34"/>
      <c r="E1008" s="34"/>
      <c r="F1008" s="34"/>
      <c r="G1008" s="34"/>
      <c r="H1008" s="34"/>
      <c r="I1008" s="54"/>
      <c r="J1008" s="34"/>
    </row>
    <row r="1009" spans="1:10" ht="18" customHeight="1">
      <c r="A1009" s="3" t="s">
        <v>221</v>
      </c>
      <c r="D1009" s="6">
        <v>26408</v>
      </c>
      <c r="E1009" s="22"/>
      <c r="F1009" s="6">
        <f>25928+18+1</f>
        <v>25947</v>
      </c>
      <c r="G1009" s="6"/>
      <c r="H1009" s="6">
        <f>16970+33+8842+1</f>
        <v>25846</v>
      </c>
      <c r="I1009" s="8"/>
      <c r="J1009" s="6">
        <f>26940+27</f>
        <v>26967</v>
      </c>
    </row>
    <row r="1010" spans="1:10" ht="18" customHeight="1">
      <c r="A1010" s="3" t="s">
        <v>104</v>
      </c>
      <c r="D1010" s="29">
        <v>535446</v>
      </c>
      <c r="E1010" s="22"/>
      <c r="F1010" s="23">
        <v>551509</v>
      </c>
      <c r="G1010" s="6"/>
      <c r="H1010" s="23">
        <v>551510</v>
      </c>
      <c r="I1010" s="8"/>
      <c r="J1010" s="28">
        <v>0</v>
      </c>
    </row>
    <row r="1011" spans="1:10" ht="18" customHeight="1">
      <c r="A1011" s="3" t="s">
        <v>92</v>
      </c>
      <c r="D1011" s="22">
        <f>SUM(D1009:D1010)</f>
        <v>561854</v>
      </c>
      <c r="E1011" s="58"/>
      <c r="F1011" s="22">
        <f>SUM(F1009:F1010)</f>
        <v>577456</v>
      </c>
      <c r="G1011" s="22"/>
      <c r="H1011" s="22">
        <f>SUM(H1009:H1010)</f>
        <v>577356</v>
      </c>
      <c r="I1011" s="61"/>
      <c r="J1011" s="22">
        <f>SUM(J1009:J1010)</f>
        <v>26967</v>
      </c>
    </row>
    <row r="1012" spans="1:10" s="11" customFormat="1" ht="9.75" customHeight="1">
      <c r="A1012" s="62"/>
      <c r="D1012" s="8"/>
      <c r="E1012" s="8"/>
      <c r="F1012" s="8"/>
      <c r="G1012" s="8"/>
      <c r="H1012" s="8"/>
      <c r="I1012" s="8"/>
      <c r="J1012" s="8"/>
    </row>
    <row r="1013" spans="1:10" ht="18" customHeight="1" thickBot="1">
      <c r="A1013" s="3" t="s">
        <v>50</v>
      </c>
      <c r="D1013" s="21">
        <f>D1001+D1006+D1011</f>
        <v>13317366</v>
      </c>
      <c r="E1013" s="22"/>
      <c r="F1013" s="21">
        <f>F1001+F1006+F1011</f>
        <v>12563894</v>
      </c>
      <c r="G1013" s="8"/>
      <c r="H1013" s="21">
        <f>H1001+H1006+H1011</f>
        <v>11357533</v>
      </c>
      <c r="I1013" s="8"/>
      <c r="J1013" s="21">
        <f>J1001+J1006+J1011</f>
        <v>12536727</v>
      </c>
    </row>
    <row r="1014" ht="18" customHeight="1" thickTop="1"/>
    <row r="1015" spans="1:10" ht="18" customHeight="1">
      <c r="A1015" s="80" t="s">
        <v>0</v>
      </c>
      <c r="B1015" s="80"/>
      <c r="C1015" s="80"/>
      <c r="D1015" s="80"/>
      <c r="E1015" s="80"/>
      <c r="F1015" s="80"/>
      <c r="G1015" s="80"/>
      <c r="H1015" s="80"/>
      <c r="I1015" s="80"/>
      <c r="J1015" s="80"/>
    </row>
    <row r="1016" spans="1:10" ht="18" customHeight="1">
      <c r="A1016" s="80" t="s">
        <v>429</v>
      </c>
      <c r="B1016" s="80"/>
      <c r="C1016" s="80"/>
      <c r="D1016" s="80"/>
      <c r="E1016" s="80"/>
      <c r="F1016" s="80"/>
      <c r="G1016" s="80"/>
      <c r="H1016" s="80"/>
      <c r="I1016" s="80"/>
      <c r="J1016" s="80"/>
    </row>
    <row r="1017" spans="1:10" ht="18" customHeight="1">
      <c r="A1017" s="80" t="s">
        <v>421</v>
      </c>
      <c r="B1017" s="80"/>
      <c r="C1017" s="80"/>
      <c r="D1017" s="80"/>
      <c r="E1017" s="80"/>
      <c r="F1017" s="80"/>
      <c r="G1017" s="80"/>
      <c r="H1017" s="80"/>
      <c r="I1017" s="80"/>
      <c r="J1017" s="80"/>
    </row>
    <row r="1018" spans="1:10" ht="18" customHeight="1">
      <c r="A1018" s="2"/>
      <c r="B1018" s="2"/>
      <c r="C1018" s="2"/>
      <c r="D1018" s="17"/>
      <c r="E1018" s="2"/>
      <c r="F1018" s="2" t="s">
        <v>204</v>
      </c>
      <c r="G1018" s="17"/>
      <c r="H1018" s="44"/>
      <c r="I1018" s="17"/>
      <c r="J1018" s="44"/>
    </row>
    <row r="1019" spans="4:10" ht="18" customHeight="1">
      <c r="D1019" s="44"/>
      <c r="E1019" s="1"/>
      <c r="F1019" s="45" t="s">
        <v>309</v>
      </c>
      <c r="G1019" s="44"/>
      <c r="H1019" s="17"/>
      <c r="I1019" s="6"/>
      <c r="J1019" s="44"/>
    </row>
    <row r="1020" spans="4:10" ht="18" customHeight="1">
      <c r="D1020" s="17"/>
      <c r="F1020" s="14" t="s">
        <v>368</v>
      </c>
      <c r="G1020" s="17"/>
      <c r="H1020" s="17"/>
      <c r="J1020" s="17"/>
    </row>
    <row r="1021" spans="1:10" ht="18" customHeight="1">
      <c r="A1021" s="7" t="s">
        <v>9</v>
      </c>
      <c r="D1021" s="17"/>
      <c r="F1021" s="17"/>
      <c r="G1021" s="17"/>
      <c r="H1021" s="17"/>
      <c r="J1021" s="17"/>
    </row>
    <row r="1022" spans="1:10" ht="18" customHeight="1">
      <c r="A1022" s="3" t="s">
        <v>310</v>
      </c>
      <c r="D1022" s="8"/>
      <c r="E1022" s="49"/>
      <c r="F1022" s="22">
        <v>26423665</v>
      </c>
      <c r="G1022" s="11"/>
      <c r="H1022" s="8"/>
      <c r="I1022" s="50"/>
      <c r="J1022" s="8"/>
    </row>
    <row r="1023" spans="1:10" ht="18" customHeight="1">
      <c r="A1023" s="3" t="s">
        <v>311</v>
      </c>
      <c r="D1023" s="6"/>
      <c r="F1023" s="30">
        <f>700055+148812+34469</f>
        <v>883336</v>
      </c>
      <c r="G1023" s="11"/>
      <c r="H1023" s="27"/>
      <c r="J1023" s="24"/>
    </row>
    <row r="1024" spans="1:10" ht="18" customHeight="1" thickBot="1">
      <c r="A1024" s="3" t="s">
        <v>12</v>
      </c>
      <c r="D1024" s="8"/>
      <c r="E1024" s="49"/>
      <c r="F1024" s="21">
        <f>SUM(F1022:F1023)</f>
        <v>27307001</v>
      </c>
      <c r="G1024" s="11"/>
      <c r="H1024" s="8"/>
      <c r="I1024" s="50"/>
      <c r="J1024" s="8"/>
    </row>
    <row r="1025" spans="4:10" ht="13.5" customHeight="1" thickTop="1">
      <c r="D1025" s="51"/>
      <c r="F1025" s="5"/>
      <c r="G1025" s="11"/>
      <c r="H1025" s="51"/>
      <c r="J1025" s="51"/>
    </row>
    <row r="1026" spans="1:10" ht="18" customHeight="1">
      <c r="A1026" s="7" t="s">
        <v>13</v>
      </c>
      <c r="D1026" s="51"/>
      <c r="F1026" s="5"/>
      <c r="G1026" s="11"/>
      <c r="H1026" s="51"/>
      <c r="J1026" s="51"/>
    </row>
    <row r="1027" spans="1:10" ht="18" customHeight="1">
      <c r="A1027" s="7" t="s">
        <v>14</v>
      </c>
      <c r="D1027" s="51"/>
      <c r="F1027" s="5"/>
      <c r="G1027" s="11"/>
      <c r="H1027" s="51"/>
      <c r="J1027" s="51"/>
    </row>
    <row r="1028" spans="1:10" ht="18" customHeight="1">
      <c r="A1028" s="3" t="s">
        <v>15</v>
      </c>
      <c r="D1028" s="8"/>
      <c r="E1028" s="15"/>
      <c r="F1028" s="22">
        <v>2243790</v>
      </c>
      <c r="G1028" s="52"/>
      <c r="H1028" s="8"/>
      <c r="I1028" s="52"/>
      <c r="J1028" s="8"/>
    </row>
    <row r="1029" spans="1:10" ht="18" customHeight="1">
      <c r="A1029" s="3" t="s">
        <v>16</v>
      </c>
      <c r="D1029" s="6"/>
      <c r="F1029" s="1">
        <v>2856438</v>
      </c>
      <c r="G1029" s="11"/>
      <c r="H1029" s="6"/>
      <c r="J1029" s="24"/>
    </row>
    <row r="1030" spans="1:10" ht="18" customHeight="1">
      <c r="A1030" s="3" t="s">
        <v>17</v>
      </c>
      <c r="D1030" s="6"/>
      <c r="F1030" s="1">
        <v>1754127</v>
      </c>
      <c r="G1030" s="11"/>
      <c r="H1030" s="6"/>
      <c r="J1030" s="24"/>
    </row>
    <row r="1031" spans="1:10" ht="18" customHeight="1">
      <c r="A1031" s="3" t="s">
        <v>18</v>
      </c>
      <c r="D1031" s="6"/>
      <c r="F1031" s="1">
        <v>1617071</v>
      </c>
      <c r="G1031" s="11"/>
      <c r="H1031" s="6"/>
      <c r="J1031" s="24"/>
    </row>
    <row r="1032" spans="1:10" ht="18" customHeight="1">
      <c r="A1032" s="3" t="s">
        <v>19</v>
      </c>
      <c r="D1032" s="6"/>
      <c r="F1032" s="1">
        <v>2290578</v>
      </c>
      <c r="G1032" s="11"/>
      <c r="H1032" s="6"/>
      <c r="J1032" s="24"/>
    </row>
    <row r="1033" spans="1:10" ht="18" customHeight="1">
      <c r="A1033" s="3" t="s">
        <v>20</v>
      </c>
      <c r="D1033" s="6"/>
      <c r="F1033" s="1">
        <v>1984</v>
      </c>
      <c r="G1033" s="11"/>
      <c r="H1033" s="6"/>
      <c r="J1033" s="24"/>
    </row>
    <row r="1034" spans="1:10" ht="18" customHeight="1">
      <c r="A1034" s="3" t="s">
        <v>21</v>
      </c>
      <c r="D1034" s="6"/>
      <c r="F1034" s="1">
        <v>717780</v>
      </c>
      <c r="G1034" s="11"/>
      <c r="H1034" s="6"/>
      <c r="J1034" s="24"/>
    </row>
    <row r="1035" spans="1:10" ht="18" customHeight="1">
      <c r="A1035" s="3" t="s">
        <v>22</v>
      </c>
      <c r="D1035" s="6"/>
      <c r="F1035" s="1">
        <v>3490593</v>
      </c>
      <c r="G1035" s="11"/>
      <c r="H1035" s="6"/>
      <c r="J1035" s="24"/>
    </row>
    <row r="1036" spans="1:10" ht="18" customHeight="1">
      <c r="A1036" s="3" t="s">
        <v>23</v>
      </c>
      <c r="D1036" s="6"/>
      <c r="F1036" s="1">
        <v>7824663</v>
      </c>
      <c r="G1036" s="11"/>
      <c r="H1036" s="6"/>
      <c r="J1036" s="24"/>
    </row>
    <row r="1037" spans="1:10" ht="18" customHeight="1">
      <c r="A1037" s="3" t="s">
        <v>24</v>
      </c>
      <c r="D1037" s="6"/>
      <c r="F1037" s="23">
        <v>10788536</v>
      </c>
      <c r="G1037" s="11"/>
      <c r="H1037" s="6"/>
      <c r="J1037" s="24"/>
    </row>
    <row r="1038" spans="1:10" ht="18" customHeight="1">
      <c r="A1038" s="3" t="s">
        <v>25</v>
      </c>
      <c r="D1038" s="8"/>
      <c r="F1038" s="20">
        <f>SUM(F1028:F1037)</f>
        <v>33585560</v>
      </c>
      <c r="G1038" s="11"/>
      <c r="H1038" s="8"/>
      <c r="J1038" s="8"/>
    </row>
    <row r="1039" spans="4:10" ht="13.5" customHeight="1">
      <c r="D1039" s="51"/>
      <c r="F1039" s="5"/>
      <c r="G1039" s="11"/>
      <c r="H1039" s="51"/>
      <c r="J1039" s="51"/>
    </row>
    <row r="1040" spans="1:10" ht="18" customHeight="1">
      <c r="A1040" s="7" t="s">
        <v>431</v>
      </c>
      <c r="D1040" s="51"/>
      <c r="F1040" s="5"/>
      <c r="G1040" s="11"/>
      <c r="H1040" s="51"/>
      <c r="J1040" s="51"/>
    </row>
    <row r="1041" spans="1:10" ht="18" customHeight="1">
      <c r="A1041" s="3" t="s">
        <v>230</v>
      </c>
      <c r="D1041" s="8"/>
      <c r="E1041" s="15"/>
      <c r="F1041" s="22">
        <v>-4</v>
      </c>
      <c r="G1041" s="52"/>
      <c r="H1041" s="8"/>
      <c r="I1041" s="52"/>
      <c r="J1041" s="8"/>
    </row>
    <row r="1042" spans="1:10" ht="18" customHeight="1">
      <c r="A1042" s="3" t="s">
        <v>231</v>
      </c>
      <c r="D1042" s="24"/>
      <c r="F1042" s="25">
        <v>58290</v>
      </c>
      <c r="G1042" s="11"/>
      <c r="H1042" s="24"/>
      <c r="J1042" s="24"/>
    </row>
    <row r="1043" spans="1:10" ht="18" customHeight="1">
      <c r="A1043" s="3" t="s">
        <v>131</v>
      </c>
      <c r="D1043" s="24"/>
      <c r="F1043" s="25">
        <v>360244</v>
      </c>
      <c r="G1043" s="11"/>
      <c r="H1043" s="24"/>
      <c r="J1043" s="24"/>
    </row>
    <row r="1044" spans="1:10" ht="18" customHeight="1">
      <c r="A1044" s="3" t="s">
        <v>26</v>
      </c>
      <c r="D1044" s="6"/>
      <c r="F1044" s="1">
        <v>1000000</v>
      </c>
      <c r="G1044" s="11"/>
      <c r="H1044" s="6"/>
      <c r="J1044" s="24"/>
    </row>
    <row r="1045" spans="1:10" ht="18" customHeight="1">
      <c r="A1045" s="3" t="s">
        <v>27</v>
      </c>
      <c r="D1045" s="6"/>
      <c r="F1045" s="1">
        <v>1375637</v>
      </c>
      <c r="G1045" s="11"/>
      <c r="H1045" s="6"/>
      <c r="J1045" s="24"/>
    </row>
    <row r="1046" spans="1:10" ht="18" customHeight="1">
      <c r="A1046" s="3" t="s">
        <v>269</v>
      </c>
      <c r="D1046" s="6"/>
      <c r="F1046" s="1">
        <v>5329</v>
      </c>
      <c r="G1046" s="11"/>
      <c r="H1046" s="6"/>
      <c r="J1046" s="24"/>
    </row>
    <row r="1047" spans="1:10" ht="18" customHeight="1">
      <c r="A1047" s="3" t="s">
        <v>274</v>
      </c>
      <c r="D1047" s="38"/>
      <c r="F1047" s="25">
        <v>105295</v>
      </c>
      <c r="G1047" s="11"/>
      <c r="H1047" s="38"/>
      <c r="J1047" s="24"/>
    </row>
    <row r="1048" spans="1:10" ht="18" customHeight="1">
      <c r="A1048" s="3" t="s">
        <v>193</v>
      </c>
      <c r="D1048" s="6"/>
      <c r="F1048" s="25">
        <v>0</v>
      </c>
      <c r="G1048" s="11"/>
      <c r="H1048" s="6"/>
      <c r="J1048" s="24"/>
    </row>
    <row r="1049" spans="1:10" ht="18" customHeight="1">
      <c r="A1049" s="3" t="s">
        <v>28</v>
      </c>
      <c r="D1049" s="6"/>
      <c r="F1049" s="1">
        <v>19483634</v>
      </c>
      <c r="G1049" s="11"/>
      <c r="H1049" s="6"/>
      <c r="J1049" s="24"/>
    </row>
    <row r="1050" spans="1:10" ht="18" customHeight="1">
      <c r="A1050" s="3" t="s">
        <v>29</v>
      </c>
      <c r="D1050" s="38"/>
      <c r="F1050" s="25">
        <v>-132937</v>
      </c>
      <c r="H1050" s="53"/>
      <c r="J1050" s="24"/>
    </row>
    <row r="1051" spans="1:10" ht="18" customHeight="1">
      <c r="A1051" s="3" t="s">
        <v>334</v>
      </c>
      <c r="D1051" s="38"/>
      <c r="F1051" s="25">
        <v>6260535</v>
      </c>
      <c r="G1051" s="11"/>
      <c r="H1051" s="6"/>
      <c r="J1051" s="24"/>
    </row>
    <row r="1052" spans="1:10" ht="18" customHeight="1">
      <c r="A1052" s="3" t="s">
        <v>232</v>
      </c>
      <c r="D1052" s="6"/>
      <c r="F1052" s="1">
        <v>655307</v>
      </c>
      <c r="G1052" s="11"/>
      <c r="H1052" s="6"/>
      <c r="J1052" s="24"/>
    </row>
    <row r="1053" spans="1:10" ht="18" customHeight="1">
      <c r="A1053" s="3" t="s">
        <v>236</v>
      </c>
      <c r="D1053" s="6"/>
      <c r="F1053" s="1">
        <v>352297</v>
      </c>
      <c r="G1053" s="11"/>
      <c r="H1053" s="6"/>
      <c r="J1053" s="24"/>
    </row>
    <row r="1054" spans="1:10" ht="18" customHeight="1">
      <c r="A1054" s="3" t="s">
        <v>233</v>
      </c>
      <c r="D1054" s="6"/>
      <c r="F1054" s="25">
        <v>0</v>
      </c>
      <c r="G1054" s="11"/>
      <c r="H1054" s="6"/>
      <c r="J1054" s="24"/>
    </row>
    <row r="1055" spans="1:10" ht="18" customHeight="1">
      <c r="A1055" s="3" t="s">
        <v>234</v>
      </c>
      <c r="D1055" s="6"/>
      <c r="F1055" s="1">
        <v>254718</v>
      </c>
      <c r="G1055" s="11"/>
      <c r="H1055" s="6"/>
      <c r="J1055" s="24"/>
    </row>
    <row r="1056" spans="1:10" ht="18" customHeight="1">
      <c r="A1056" s="3" t="s">
        <v>384</v>
      </c>
      <c r="D1056" s="6"/>
      <c r="F1056" s="1">
        <v>438</v>
      </c>
      <c r="G1056" s="11"/>
      <c r="H1056" s="6"/>
      <c r="J1056" s="24"/>
    </row>
    <row r="1057" spans="1:10" ht="18" customHeight="1">
      <c r="A1057" s="3" t="s">
        <v>235</v>
      </c>
      <c r="D1057" s="6"/>
      <c r="F1057" s="1">
        <v>4104056</v>
      </c>
      <c r="G1057" s="11"/>
      <c r="H1057" s="6"/>
      <c r="J1057" s="24"/>
    </row>
    <row r="1058" spans="1:10" ht="18" customHeight="1">
      <c r="A1058" s="3" t="s">
        <v>396</v>
      </c>
      <c r="D1058" s="6"/>
      <c r="F1058" s="1">
        <v>2597</v>
      </c>
      <c r="G1058" s="11"/>
      <c r="H1058" s="6"/>
      <c r="J1058" s="24"/>
    </row>
    <row r="1059" spans="1:10" ht="18" customHeight="1">
      <c r="A1059" s="3" t="s">
        <v>243</v>
      </c>
      <c r="D1059" s="6"/>
      <c r="F1059" s="1">
        <v>17682</v>
      </c>
      <c r="G1059" s="11"/>
      <c r="H1059" s="6"/>
      <c r="J1059" s="24"/>
    </row>
    <row r="1060" spans="1:10" ht="18" customHeight="1">
      <c r="A1060" s="3" t="s">
        <v>237</v>
      </c>
      <c r="D1060" s="24"/>
      <c r="F1060" s="25">
        <v>428927</v>
      </c>
      <c r="G1060" s="11"/>
      <c r="H1060" s="24"/>
      <c r="J1060" s="24"/>
    </row>
    <row r="1061" spans="1:10" ht="18" customHeight="1">
      <c r="A1061" s="3" t="s">
        <v>242</v>
      </c>
      <c r="D1061" s="24"/>
      <c r="F1061" s="25">
        <v>490850</v>
      </c>
      <c r="G1061" s="11"/>
      <c r="H1061" s="24"/>
      <c r="J1061" s="24"/>
    </row>
    <row r="1062" spans="1:10" ht="18" customHeight="1">
      <c r="A1062" s="80" t="s">
        <v>0</v>
      </c>
      <c r="B1062" s="80"/>
      <c r="C1062" s="80"/>
      <c r="D1062" s="80"/>
      <c r="E1062" s="80"/>
      <c r="F1062" s="80"/>
      <c r="G1062" s="80"/>
      <c r="H1062" s="80"/>
      <c r="I1062" s="80"/>
      <c r="J1062" s="80"/>
    </row>
    <row r="1063" spans="1:10" ht="18" customHeight="1">
      <c r="A1063" s="80" t="s">
        <v>51</v>
      </c>
      <c r="B1063" s="80"/>
      <c r="C1063" s="80"/>
      <c r="D1063" s="80"/>
      <c r="E1063" s="80"/>
      <c r="F1063" s="80"/>
      <c r="G1063" s="80"/>
      <c r="H1063" s="80"/>
      <c r="I1063" s="80"/>
      <c r="J1063" s="80"/>
    </row>
    <row r="1064" spans="1:10" ht="18" customHeight="1">
      <c r="A1064" s="80" t="s">
        <v>421</v>
      </c>
      <c r="B1064" s="80"/>
      <c r="C1064" s="80"/>
      <c r="D1064" s="80"/>
      <c r="E1064" s="80"/>
      <c r="F1064" s="80"/>
      <c r="G1064" s="80"/>
      <c r="H1064" s="80"/>
      <c r="I1064" s="80"/>
      <c r="J1064" s="80"/>
    </row>
    <row r="1065" spans="1:10" ht="18" customHeight="1">
      <c r="A1065" s="2"/>
      <c r="B1065" s="2"/>
      <c r="C1065" s="2"/>
      <c r="D1065" s="2"/>
      <c r="E1065" s="2"/>
      <c r="F1065" s="2" t="s">
        <v>204</v>
      </c>
      <c r="G1065" s="17"/>
      <c r="H1065" s="44"/>
      <c r="I1065" s="17"/>
      <c r="J1065" s="44"/>
    </row>
    <row r="1066" spans="4:10" ht="18" customHeight="1">
      <c r="D1066" s="45"/>
      <c r="E1066" s="1"/>
      <c r="F1066" s="45" t="s">
        <v>309</v>
      </c>
      <c r="G1066" s="44"/>
      <c r="H1066" s="17"/>
      <c r="I1066" s="6"/>
      <c r="J1066" s="44"/>
    </row>
    <row r="1067" spans="1:10" ht="18" customHeight="1">
      <c r="A1067" s="7" t="s">
        <v>437</v>
      </c>
      <c r="D1067" s="17"/>
      <c r="F1067" s="14" t="s">
        <v>368</v>
      </c>
      <c r="G1067" s="17"/>
      <c r="H1067" s="17"/>
      <c r="J1067" s="17"/>
    </row>
    <row r="1068" spans="1:10" ht="18" customHeight="1">
      <c r="A1068" s="3" t="s">
        <v>238</v>
      </c>
      <c r="D1068" s="6"/>
      <c r="F1068" s="22">
        <v>33745</v>
      </c>
      <c r="G1068" s="11"/>
      <c r="H1068" s="6"/>
      <c r="J1068" s="24"/>
    </row>
    <row r="1069" spans="1:10" ht="18" customHeight="1">
      <c r="A1069" s="3" t="s">
        <v>30</v>
      </c>
      <c r="D1069" s="6"/>
      <c r="F1069" s="25">
        <v>725624</v>
      </c>
      <c r="G1069" s="11"/>
      <c r="H1069" s="6"/>
      <c r="J1069" s="24"/>
    </row>
    <row r="1070" spans="1:10" ht="18" customHeight="1">
      <c r="A1070" s="3" t="s">
        <v>31</v>
      </c>
      <c r="D1070" s="6"/>
      <c r="F1070" s="25">
        <v>578807</v>
      </c>
      <c r="G1070" s="11"/>
      <c r="H1070" s="6"/>
      <c r="J1070" s="24"/>
    </row>
    <row r="1071" spans="1:10" ht="18" customHeight="1">
      <c r="A1071" s="3" t="s">
        <v>32</v>
      </c>
      <c r="D1071" s="24"/>
      <c r="E1071" s="15"/>
      <c r="F1071" s="25">
        <v>727749</v>
      </c>
      <c r="G1071" s="52"/>
      <c r="H1071" s="8"/>
      <c r="I1071" s="52"/>
      <c r="J1071" s="8"/>
    </row>
    <row r="1072" spans="1:10" ht="18" customHeight="1">
      <c r="A1072" s="3" t="s">
        <v>265</v>
      </c>
      <c r="D1072" s="24"/>
      <c r="F1072" s="25">
        <v>121103</v>
      </c>
      <c r="G1072" s="11"/>
      <c r="H1072" s="24"/>
      <c r="J1072" s="24"/>
    </row>
    <row r="1073" spans="1:10" ht="18" customHeight="1">
      <c r="A1073" s="3" t="s">
        <v>239</v>
      </c>
      <c r="D1073" s="53"/>
      <c r="F1073" s="16">
        <v>2402041</v>
      </c>
      <c r="G1073" s="11"/>
      <c r="H1073" s="53"/>
      <c r="J1073" s="24"/>
    </row>
    <row r="1074" spans="1:10" ht="18" customHeight="1">
      <c r="A1074" s="3" t="s">
        <v>35</v>
      </c>
      <c r="D1074" s="6"/>
      <c r="F1074" s="1">
        <v>237909</v>
      </c>
      <c r="G1074" s="11"/>
      <c r="H1074" s="6"/>
      <c r="J1074" s="24"/>
    </row>
    <row r="1075" spans="1:10" ht="18" customHeight="1">
      <c r="A1075" s="3" t="s">
        <v>36</v>
      </c>
      <c r="D1075" s="24"/>
      <c r="E1075" s="16"/>
      <c r="F1075" s="25">
        <v>3404409</v>
      </c>
      <c r="G1075" s="53"/>
      <c r="H1075" s="24"/>
      <c r="I1075" s="53"/>
      <c r="J1075" s="24"/>
    </row>
    <row r="1076" spans="1:10" ht="18" customHeight="1">
      <c r="A1076" s="3" t="s">
        <v>37</v>
      </c>
      <c r="D1076" s="22"/>
      <c r="F1076" s="25">
        <v>9087</v>
      </c>
      <c r="G1076" s="11"/>
      <c r="H1076" s="6"/>
      <c r="J1076" s="24"/>
    </row>
    <row r="1077" spans="1:10" ht="18" customHeight="1">
      <c r="A1077" s="3" t="s">
        <v>38</v>
      </c>
      <c r="D1077" s="25"/>
      <c r="E1077" s="16"/>
      <c r="F1077" s="25">
        <v>11625346</v>
      </c>
      <c r="G1077" s="53"/>
      <c r="H1077" s="24"/>
      <c r="I1077" s="53"/>
      <c r="J1077" s="24"/>
    </row>
    <row r="1078" spans="1:10" ht="18" customHeight="1">
      <c r="A1078" s="3" t="s">
        <v>154</v>
      </c>
      <c r="D1078" s="1"/>
      <c r="F1078" s="1">
        <v>1388443</v>
      </c>
      <c r="G1078" s="11"/>
      <c r="H1078" s="6"/>
      <c r="J1078" s="24"/>
    </row>
    <row r="1079" spans="1:10" ht="18" customHeight="1">
      <c r="A1079" s="3" t="s">
        <v>240</v>
      </c>
      <c r="D1079" s="1"/>
      <c r="F1079" s="1">
        <v>1141794</v>
      </c>
      <c r="G1079" s="11"/>
      <c r="H1079" s="6"/>
      <c r="J1079" s="24"/>
    </row>
    <row r="1080" spans="1:10" s="15" customFormat="1" ht="18" customHeight="1">
      <c r="A1080" s="3" t="s">
        <v>81</v>
      </c>
      <c r="D1080" s="25"/>
      <c r="F1080" s="25">
        <v>4116745</v>
      </c>
      <c r="G1080" s="52"/>
      <c r="H1080" s="24"/>
      <c r="I1080" s="52"/>
      <c r="J1080" s="24"/>
    </row>
    <row r="1081" spans="1:10" ht="18" customHeight="1">
      <c r="A1081" s="3" t="s">
        <v>132</v>
      </c>
      <c r="D1081" s="1"/>
      <c r="F1081" s="1">
        <v>401007</v>
      </c>
      <c r="G1081" s="11"/>
      <c r="H1081" s="6"/>
      <c r="J1081" s="24"/>
    </row>
    <row r="1082" spans="1:10" ht="18" customHeight="1">
      <c r="A1082" s="3" t="s">
        <v>133</v>
      </c>
      <c r="D1082" s="1"/>
      <c r="F1082" s="1">
        <v>36057</v>
      </c>
      <c r="G1082" s="11"/>
      <c r="H1082" s="6"/>
      <c r="J1082" s="24"/>
    </row>
    <row r="1083" spans="1:10" ht="18" customHeight="1">
      <c r="A1083" s="3" t="s">
        <v>134</v>
      </c>
      <c r="D1083" s="1"/>
      <c r="F1083" s="1">
        <v>14071</v>
      </c>
      <c r="G1083" s="11"/>
      <c r="H1083" s="6"/>
      <c r="J1083" s="24"/>
    </row>
    <row r="1084" spans="1:10" ht="18" customHeight="1">
      <c r="A1084" s="3" t="s">
        <v>135</v>
      </c>
      <c r="D1084" s="1"/>
      <c r="F1084" s="1">
        <v>75748</v>
      </c>
      <c r="G1084" s="11"/>
      <c r="H1084" s="6"/>
      <c r="J1084" s="24"/>
    </row>
    <row r="1085" spans="1:10" ht="18" customHeight="1">
      <c r="A1085" s="3" t="s">
        <v>241</v>
      </c>
      <c r="D1085" s="6"/>
      <c r="F1085" s="23">
        <v>43166</v>
      </c>
      <c r="G1085" s="11"/>
      <c r="H1085" s="6"/>
      <c r="J1085" s="24"/>
    </row>
    <row r="1086" spans="1:10" ht="18" customHeight="1">
      <c r="A1086" s="3" t="s">
        <v>39</v>
      </c>
      <c r="D1086" s="8"/>
      <c r="F1086" s="20">
        <f>SUM(F1041:F1085)</f>
        <v>61905746</v>
      </c>
      <c r="G1086" s="11"/>
      <c r="H1086" s="8"/>
      <c r="J1086" s="8"/>
    </row>
    <row r="1087" spans="1:10" ht="18" customHeight="1">
      <c r="A1087" s="3"/>
      <c r="D1087" s="54"/>
      <c r="F1087" s="54"/>
      <c r="G1087" s="11"/>
      <c r="H1087" s="54"/>
      <c r="J1087" s="54"/>
    </row>
    <row r="1088" spans="1:10" ht="18" customHeight="1">
      <c r="A1088" s="7" t="s">
        <v>433</v>
      </c>
      <c r="G1088" s="11"/>
      <c r="H1088" s="11"/>
      <c r="J1088" s="11"/>
    </row>
    <row r="1089" spans="1:10" ht="18" customHeight="1">
      <c r="A1089" s="3" t="s">
        <v>40</v>
      </c>
      <c r="D1089" s="22"/>
      <c r="E1089" s="15"/>
      <c r="F1089" s="22">
        <v>0</v>
      </c>
      <c r="G1089" s="52"/>
      <c r="H1089" s="8"/>
      <c r="I1089" s="52"/>
      <c r="J1089" s="8"/>
    </row>
    <row r="1090" spans="1:10" ht="18" customHeight="1">
      <c r="A1090" s="3" t="s">
        <v>292</v>
      </c>
      <c r="D1090" s="25"/>
      <c r="F1090" s="25">
        <v>0</v>
      </c>
      <c r="G1090" s="11"/>
      <c r="H1090" s="24"/>
      <c r="J1090" s="24"/>
    </row>
    <row r="1091" spans="1:10" ht="18" customHeight="1">
      <c r="A1091" s="3" t="s">
        <v>393</v>
      </c>
      <c r="D1091" s="25"/>
      <c r="F1091" s="25">
        <v>0</v>
      </c>
      <c r="G1091" s="11"/>
      <c r="H1091" s="24"/>
      <c r="J1091" s="24"/>
    </row>
    <row r="1092" spans="1:10" ht="18" customHeight="1">
      <c r="A1092" s="3" t="s">
        <v>369</v>
      </c>
      <c r="D1092" s="25"/>
      <c r="F1092" s="25">
        <v>0</v>
      </c>
      <c r="G1092" s="11"/>
      <c r="H1092" s="24"/>
      <c r="J1092" s="24"/>
    </row>
    <row r="1093" spans="1:10" ht="18" customHeight="1">
      <c r="A1093" s="3" t="s">
        <v>390</v>
      </c>
      <c r="D1093" s="25"/>
      <c r="F1093" s="25">
        <v>0</v>
      </c>
      <c r="G1093" s="11"/>
      <c r="H1093" s="24"/>
      <c r="J1093" s="24"/>
    </row>
    <row r="1094" spans="1:10" ht="18" customHeight="1">
      <c r="A1094" s="3" t="s">
        <v>295</v>
      </c>
      <c r="D1094" s="25"/>
      <c r="F1094" s="25">
        <v>0</v>
      </c>
      <c r="G1094" s="11"/>
      <c r="H1094" s="24"/>
      <c r="J1094" s="24"/>
    </row>
    <row r="1095" spans="1:10" ht="18" customHeight="1">
      <c r="A1095" s="3" t="s">
        <v>299</v>
      </c>
      <c r="D1095" s="25"/>
      <c r="F1095" s="25">
        <v>0</v>
      </c>
      <c r="G1095" s="11"/>
      <c r="H1095" s="24"/>
      <c r="J1095" s="24"/>
    </row>
    <row r="1096" spans="1:10" ht="18" customHeight="1">
      <c r="A1096" s="3" t="s">
        <v>275</v>
      </c>
      <c r="D1096" s="25"/>
      <c r="F1096" s="25">
        <v>0</v>
      </c>
      <c r="G1096" s="11"/>
      <c r="H1096" s="24"/>
      <c r="J1096" s="24"/>
    </row>
    <row r="1097" spans="1:10" ht="18" customHeight="1">
      <c r="A1097" s="3" t="s">
        <v>301</v>
      </c>
      <c r="D1097" s="25"/>
      <c r="F1097" s="25">
        <v>0</v>
      </c>
      <c r="G1097" s="11"/>
      <c r="H1097" s="24"/>
      <c r="J1097" s="24"/>
    </row>
    <row r="1098" spans="1:10" ht="18" customHeight="1">
      <c r="A1098" s="3" t="s">
        <v>296</v>
      </c>
      <c r="D1098" s="25"/>
      <c r="F1098" s="25">
        <v>0</v>
      </c>
      <c r="G1098" s="11"/>
      <c r="H1098" s="24"/>
      <c r="J1098" s="24"/>
    </row>
    <row r="1099" spans="1:10" ht="18" customHeight="1">
      <c r="A1099" s="3" t="s">
        <v>297</v>
      </c>
      <c r="D1099" s="25"/>
      <c r="F1099" s="25">
        <v>0</v>
      </c>
      <c r="G1099" s="11"/>
      <c r="H1099" s="24"/>
      <c r="J1099" s="24"/>
    </row>
    <row r="1100" spans="1:10" ht="18" customHeight="1">
      <c r="A1100" s="3" t="s">
        <v>294</v>
      </c>
      <c r="D1100" s="25"/>
      <c r="F1100" s="25">
        <v>0</v>
      </c>
      <c r="G1100" s="11"/>
      <c r="H1100" s="24"/>
      <c r="J1100" s="24"/>
    </row>
    <row r="1101" spans="1:10" ht="18" customHeight="1">
      <c r="A1101" s="3" t="s">
        <v>293</v>
      </c>
      <c r="D1101" s="25"/>
      <c r="F1101" s="25">
        <v>0</v>
      </c>
      <c r="G1101" s="11"/>
      <c r="H1101" s="24"/>
      <c r="J1101" s="24"/>
    </row>
    <row r="1102" spans="1:10" ht="18" customHeight="1">
      <c r="A1102" s="3" t="s">
        <v>300</v>
      </c>
      <c r="D1102" s="25"/>
      <c r="F1102" s="25">
        <v>0</v>
      </c>
      <c r="G1102" s="11"/>
      <c r="H1102" s="24"/>
      <c r="J1102" s="24"/>
    </row>
    <row r="1103" spans="1:10" ht="18" customHeight="1">
      <c r="A1103" s="3" t="s">
        <v>298</v>
      </c>
      <c r="D1103" s="25"/>
      <c r="F1103" s="25">
        <v>0</v>
      </c>
      <c r="G1103" s="11"/>
      <c r="H1103" s="24"/>
      <c r="J1103" s="24"/>
    </row>
    <row r="1104" spans="1:10" ht="18" customHeight="1">
      <c r="A1104" s="3" t="s">
        <v>335</v>
      </c>
      <c r="D1104" s="25"/>
      <c r="F1104" s="25">
        <v>278</v>
      </c>
      <c r="G1104" s="11"/>
      <c r="H1104" s="24"/>
      <c r="J1104" s="24"/>
    </row>
    <row r="1105" spans="1:11" ht="18" customHeight="1">
      <c r="A1105" s="3" t="s">
        <v>42</v>
      </c>
      <c r="D1105" s="6"/>
      <c r="F1105" s="6">
        <v>73457</v>
      </c>
      <c r="G1105" s="11"/>
      <c r="H1105" s="24"/>
      <c r="J1105" s="24"/>
      <c r="K1105" s="3"/>
    </row>
    <row r="1106" spans="1:11" ht="18" customHeight="1">
      <c r="A1106" s="3" t="s">
        <v>41</v>
      </c>
      <c r="D1106" s="24"/>
      <c r="E1106" s="15"/>
      <c r="F1106" s="24">
        <v>10402070</v>
      </c>
      <c r="G1106" s="52"/>
      <c r="H1106" s="8"/>
      <c r="I1106" s="52"/>
      <c r="J1106" s="8"/>
      <c r="K1106" s="3"/>
    </row>
    <row r="1107" spans="1:11" ht="18" customHeight="1">
      <c r="A1107" s="3" t="s">
        <v>338</v>
      </c>
      <c r="D1107" s="24"/>
      <c r="E1107" s="15"/>
      <c r="F1107" s="24">
        <v>132270</v>
      </c>
      <c r="G1107" s="52"/>
      <c r="H1107" s="8"/>
      <c r="I1107" s="52"/>
      <c r="J1107" s="8"/>
      <c r="K1107" s="3"/>
    </row>
    <row r="1108" spans="1:10" ht="18" customHeight="1">
      <c r="A1108" s="80" t="s">
        <v>0</v>
      </c>
      <c r="B1108" s="80"/>
      <c r="C1108" s="80"/>
      <c r="D1108" s="80"/>
      <c r="E1108" s="80"/>
      <c r="F1108" s="80"/>
      <c r="G1108" s="80"/>
      <c r="H1108" s="80"/>
      <c r="I1108" s="80"/>
      <c r="J1108" s="80"/>
    </row>
    <row r="1109" spans="1:10" ht="18" customHeight="1">
      <c r="A1109" s="80" t="s">
        <v>51</v>
      </c>
      <c r="B1109" s="80"/>
      <c r="C1109" s="80"/>
      <c r="D1109" s="80"/>
      <c r="E1109" s="80"/>
      <c r="F1109" s="80"/>
      <c r="G1109" s="80"/>
      <c r="H1109" s="80"/>
      <c r="I1109" s="80"/>
      <c r="J1109" s="80"/>
    </row>
    <row r="1110" spans="1:10" ht="18" customHeight="1">
      <c r="A1110" s="80" t="s">
        <v>421</v>
      </c>
      <c r="B1110" s="80"/>
      <c r="C1110" s="80"/>
      <c r="D1110" s="80"/>
      <c r="E1110" s="80"/>
      <c r="F1110" s="80"/>
      <c r="G1110" s="80"/>
      <c r="H1110" s="80"/>
      <c r="I1110" s="80"/>
      <c r="J1110" s="80"/>
    </row>
    <row r="1111" spans="1:10" ht="18" customHeight="1">
      <c r="A1111" s="2"/>
      <c r="B1111" s="2"/>
      <c r="C1111" s="2"/>
      <c r="D1111" s="17"/>
      <c r="E1111" s="2"/>
      <c r="F1111" s="2" t="s">
        <v>204</v>
      </c>
      <c r="G1111" s="17"/>
      <c r="H1111" s="44"/>
      <c r="I1111" s="17"/>
      <c r="J1111" s="44"/>
    </row>
    <row r="1112" spans="4:10" ht="18" customHeight="1">
      <c r="D1112" s="44"/>
      <c r="E1112" s="1"/>
      <c r="F1112" s="45" t="s">
        <v>309</v>
      </c>
      <c r="G1112" s="44"/>
      <c r="H1112" s="17"/>
      <c r="I1112" s="6"/>
      <c r="J1112" s="44"/>
    </row>
    <row r="1113" spans="1:10" ht="18" customHeight="1">
      <c r="A1113" s="7" t="s">
        <v>435</v>
      </c>
      <c r="D1113" s="17"/>
      <c r="F1113" s="14" t="s">
        <v>368</v>
      </c>
      <c r="G1113" s="17"/>
      <c r="H1113" s="17"/>
      <c r="J1113" s="17"/>
    </row>
    <row r="1114" spans="1:11" ht="18" customHeight="1">
      <c r="A1114" s="3" t="s">
        <v>336</v>
      </c>
      <c r="D1114" s="53"/>
      <c r="F1114" s="15">
        <v>5766938</v>
      </c>
      <c r="G1114" s="11"/>
      <c r="H1114" s="53"/>
      <c r="J1114" s="24"/>
      <c r="K1114" s="3"/>
    </row>
    <row r="1115" spans="1:11" ht="18" customHeight="1">
      <c r="A1115" s="3" t="s">
        <v>337</v>
      </c>
      <c r="D1115" s="53"/>
      <c r="F1115" s="16">
        <v>951530</v>
      </c>
      <c r="G1115" s="11"/>
      <c r="H1115" s="24"/>
      <c r="J1115" s="24"/>
      <c r="K1115" s="3"/>
    </row>
    <row r="1116" spans="1:11" ht="18" customHeight="1">
      <c r="A1116" s="3" t="s">
        <v>391</v>
      </c>
      <c r="D1116" s="53"/>
      <c r="F1116" s="16">
        <v>0</v>
      </c>
      <c r="G1116" s="11"/>
      <c r="H1116" s="24"/>
      <c r="J1116" s="24"/>
      <c r="K1116" s="3"/>
    </row>
    <row r="1117" spans="1:12" ht="18" customHeight="1">
      <c r="A1117" s="3" t="s">
        <v>302</v>
      </c>
      <c r="D1117" s="53"/>
      <c r="F1117" s="16">
        <v>895554</v>
      </c>
      <c r="G1117" s="11"/>
      <c r="K1117" s="53"/>
      <c r="L1117" s="16"/>
    </row>
    <row r="1118" spans="1:13" ht="18" customHeight="1">
      <c r="A1118" s="3" t="s">
        <v>392</v>
      </c>
      <c r="D1118" s="53"/>
      <c r="F1118" s="19">
        <v>58381</v>
      </c>
      <c r="G1118" s="11"/>
      <c r="H1118" s="6"/>
      <c r="J1118" s="24"/>
      <c r="M1118" s="24"/>
    </row>
    <row r="1119" spans="1:10" ht="18" customHeight="1">
      <c r="A1119" s="3" t="s">
        <v>153</v>
      </c>
      <c r="D1119" s="8"/>
      <c r="F1119" s="20">
        <f>SUM(F1089:F1118)</f>
        <v>18280478</v>
      </c>
      <c r="G1119" s="11"/>
      <c r="H1119" s="8"/>
      <c r="J1119" s="8"/>
    </row>
    <row r="1120" spans="1:10" ht="18" customHeight="1" thickBot="1">
      <c r="A1120" s="3" t="s">
        <v>43</v>
      </c>
      <c r="D1120" s="8"/>
      <c r="F1120" s="21">
        <f>F1119+F1086+F1038</f>
        <v>113771784</v>
      </c>
      <c r="G1120" s="11"/>
      <c r="H1120" s="8"/>
      <c r="J1120" s="8"/>
    </row>
    <row r="1121" spans="1:10" ht="18" customHeight="1" thickTop="1">
      <c r="A1121" s="3"/>
      <c r="D1121" s="6"/>
      <c r="F1121" s="6"/>
      <c r="G1121" s="11"/>
      <c r="H1121" s="6"/>
      <c r="J1121" s="6"/>
    </row>
    <row r="1122" spans="1:10" ht="18" customHeight="1">
      <c r="A1122" s="7" t="s">
        <v>44</v>
      </c>
      <c r="D1122" s="17"/>
      <c r="F1122" s="17"/>
      <c r="G1122" s="17"/>
      <c r="H1122" s="17"/>
      <c r="J1122" s="17"/>
    </row>
    <row r="1123" spans="1:10" ht="18" customHeight="1">
      <c r="A1123" s="3" t="s">
        <v>188</v>
      </c>
      <c r="D1123" s="8"/>
      <c r="F1123" s="46">
        <v>3941989</v>
      </c>
      <c r="G1123" s="11"/>
      <c r="H1123" s="8"/>
      <c r="J1123" s="8"/>
    </row>
    <row r="1124" spans="1:10" ht="18" customHeight="1" thickBot="1">
      <c r="A1124" s="3" t="s">
        <v>45</v>
      </c>
      <c r="D1124" s="55"/>
      <c r="F1124" s="48">
        <f>SUM(F1123:F1123)</f>
        <v>3941989</v>
      </c>
      <c r="G1124" s="11"/>
      <c r="H1124" s="55"/>
      <c r="J1124" s="55"/>
    </row>
    <row r="1125" spans="3:10" ht="18" customHeight="1" thickTop="1">
      <c r="C1125" s="9"/>
      <c r="D1125" s="11"/>
      <c r="G1125" s="11"/>
      <c r="H1125" s="11"/>
      <c r="J1125" s="11"/>
    </row>
    <row r="1126" spans="1:10" ht="18" customHeight="1">
      <c r="A1126" s="7" t="s">
        <v>46</v>
      </c>
      <c r="D1126" s="11"/>
      <c r="G1126" s="11"/>
      <c r="H1126" s="11"/>
      <c r="J1126" s="11"/>
    </row>
    <row r="1127" spans="1:10" ht="18" customHeight="1">
      <c r="A1127" s="3" t="s">
        <v>280</v>
      </c>
      <c r="D1127" s="24"/>
      <c r="F1127" s="46">
        <v>5503191</v>
      </c>
      <c r="G1127" s="11"/>
      <c r="H1127" s="24"/>
      <c r="J1127" s="24"/>
    </row>
    <row r="1128" spans="1:10" ht="18" customHeight="1" thickBot="1">
      <c r="A1128" s="3" t="s">
        <v>47</v>
      </c>
      <c r="D1128" s="8"/>
      <c r="F1128" s="21">
        <f>SUM(F1127:F1127)</f>
        <v>5503191</v>
      </c>
      <c r="G1128" s="11"/>
      <c r="H1128" s="8"/>
      <c r="J1128" s="8"/>
    </row>
    <row r="1129" spans="1:10" ht="18" customHeight="1" thickTop="1">
      <c r="A1129" s="3"/>
      <c r="D1129" s="8"/>
      <c r="F1129" s="8"/>
      <c r="G1129" s="11"/>
      <c r="H1129" s="8"/>
      <c r="J1129" s="8"/>
    </row>
    <row r="1130" spans="1:10" ht="18" customHeight="1">
      <c r="A1130" s="3" t="s">
        <v>48</v>
      </c>
      <c r="D1130" s="8"/>
      <c r="F1130" s="8"/>
      <c r="G1130" s="11"/>
      <c r="H1130" s="8"/>
      <c r="J1130" s="8"/>
    </row>
    <row r="1131" spans="1:10" ht="18" customHeight="1">
      <c r="A1131" s="3"/>
      <c r="C1131" s="9"/>
      <c r="D1131" s="11"/>
      <c r="G1131" s="11"/>
      <c r="H1131" s="11"/>
      <c r="J1131" s="11"/>
    </row>
    <row r="1132" spans="1:10" ht="18" customHeight="1">
      <c r="A1132" s="7" t="s">
        <v>49</v>
      </c>
      <c r="D1132" s="11"/>
      <c r="G1132" s="11"/>
      <c r="H1132" s="11"/>
      <c r="J1132" s="11"/>
    </row>
    <row r="1133" spans="1:10" ht="18" customHeight="1">
      <c r="A1133" s="3" t="s">
        <v>266</v>
      </c>
      <c r="D1133" s="8"/>
      <c r="E1133" s="15"/>
      <c r="F1133" s="22">
        <v>4219102</v>
      </c>
      <c r="G1133" s="52"/>
      <c r="H1133" s="8"/>
      <c r="I1133" s="52"/>
      <c r="J1133" s="8"/>
    </row>
    <row r="1134" spans="1:10" ht="18" customHeight="1">
      <c r="A1134" s="3" t="s">
        <v>312</v>
      </c>
      <c r="D1134" s="24"/>
      <c r="F1134" s="25">
        <v>3798074</v>
      </c>
      <c r="G1134" s="52"/>
      <c r="H1134" s="8"/>
      <c r="I1134" s="52"/>
      <c r="J1134" s="8"/>
    </row>
    <row r="1135" spans="1:10" ht="18" customHeight="1">
      <c r="A1135" s="3" t="s">
        <v>379</v>
      </c>
      <c r="D1135" s="8"/>
      <c r="E1135" s="15"/>
      <c r="F1135" s="28">
        <v>544950</v>
      </c>
      <c r="G1135" s="52"/>
      <c r="H1135" s="8"/>
      <c r="I1135" s="52"/>
      <c r="J1135" s="8"/>
    </row>
    <row r="1136" spans="1:10" ht="18" customHeight="1" thickBot="1">
      <c r="A1136" s="3" t="s">
        <v>380</v>
      </c>
      <c r="D1136" s="24"/>
      <c r="F1136" s="47">
        <f>SUM(F1133:F1135)</f>
        <v>8562126</v>
      </c>
      <c r="G1136" s="11"/>
      <c r="H1136" s="24"/>
      <c r="J1136" s="24"/>
    </row>
    <row r="1137" ht="18" customHeight="1" thickTop="1"/>
    <row r="1139" ht="18" customHeight="1">
      <c r="F1139" s="16"/>
    </row>
    <row r="1140" ht="18" customHeight="1">
      <c r="F1140" s="16"/>
    </row>
    <row r="1141" ht="18" customHeight="1">
      <c r="F1141" s="16"/>
    </row>
    <row r="1142" ht="18" customHeight="1">
      <c r="F1142" s="16"/>
    </row>
    <row r="1143" ht="18" customHeight="1">
      <c r="F1143" s="16"/>
    </row>
  </sheetData>
  <sheetProtection/>
  <mergeCells count="98">
    <mergeCell ref="A823:J823"/>
    <mergeCell ref="A880:J880"/>
    <mergeCell ref="A249:J249"/>
    <mergeCell ref="A250:J250"/>
    <mergeCell ref="A251:J251"/>
    <mergeCell ref="A252:J252"/>
    <mergeCell ref="A297:J297"/>
    <mergeCell ref="A298:J298"/>
    <mergeCell ref="A295:J295"/>
    <mergeCell ref="A296:J296"/>
    <mergeCell ref="A3:J3"/>
    <mergeCell ref="A5:J5"/>
    <mergeCell ref="A7:J7"/>
    <mergeCell ref="A216:J216"/>
    <mergeCell ref="A217:J217"/>
    <mergeCell ref="A218:J218"/>
    <mergeCell ref="A47:J47"/>
    <mergeCell ref="A48:J48"/>
    <mergeCell ref="A93:J93"/>
    <mergeCell ref="A94:J94"/>
    <mergeCell ref="A95:J95"/>
    <mergeCell ref="A170:J170"/>
    <mergeCell ref="A219:J219"/>
    <mergeCell ref="A171:J171"/>
    <mergeCell ref="A172:J172"/>
    <mergeCell ref="A139:J139"/>
    <mergeCell ref="A140:J140"/>
    <mergeCell ref="A141:J141"/>
    <mergeCell ref="A446:J446"/>
    <mergeCell ref="A447:J447"/>
    <mergeCell ref="A494:J494"/>
    <mergeCell ref="A429:J429"/>
    <mergeCell ref="A430:J430"/>
    <mergeCell ref="A431:J431"/>
    <mergeCell ref="A445:J445"/>
    <mergeCell ref="A448:J448"/>
    <mergeCell ref="A495:J495"/>
    <mergeCell ref="A496:J496"/>
    <mergeCell ref="A530:J530"/>
    <mergeCell ref="A493:J493"/>
    <mergeCell ref="A1110:J1110"/>
    <mergeCell ref="A1108:J1108"/>
    <mergeCell ref="A1064:J1064"/>
    <mergeCell ref="A1063:J1063"/>
    <mergeCell ref="A1062:J1062"/>
    <mergeCell ref="A1109:J1109"/>
    <mergeCell ref="A1015:J1015"/>
    <mergeCell ref="A1016:J1016"/>
    <mergeCell ref="A1017:J1017"/>
    <mergeCell ref="A387:J387"/>
    <mergeCell ref="A388:J388"/>
    <mergeCell ref="A576:J576"/>
    <mergeCell ref="A961:J961"/>
    <mergeCell ref="A962:J962"/>
    <mergeCell ref="A963:J963"/>
    <mergeCell ref="A532:J532"/>
    <mergeCell ref="A533:J533"/>
    <mergeCell ref="A531:J531"/>
    <mergeCell ref="A878:J878"/>
    <mergeCell ref="A341:J341"/>
    <mergeCell ref="A342:J342"/>
    <mergeCell ref="A343:J343"/>
    <mergeCell ref="A344:J344"/>
    <mergeCell ref="A385:J385"/>
    <mergeCell ref="A386:J386"/>
    <mergeCell ref="A577:J577"/>
    <mergeCell ref="A578:J578"/>
    <mergeCell ref="A579:J579"/>
    <mergeCell ref="A623:J623"/>
    <mergeCell ref="A624:J624"/>
    <mergeCell ref="A625:J625"/>
    <mergeCell ref="A626:J626"/>
    <mergeCell ref="A672:J672"/>
    <mergeCell ref="A673:J673"/>
    <mergeCell ref="A674:J674"/>
    <mergeCell ref="A675:J675"/>
    <mergeCell ref="A721:J721"/>
    <mergeCell ref="A722:J722"/>
    <mergeCell ref="A931:J931"/>
    <mergeCell ref="A932:J932"/>
    <mergeCell ref="A933:J933"/>
    <mergeCell ref="A934:J934"/>
    <mergeCell ref="A723:J723"/>
    <mergeCell ref="A724:J724"/>
    <mergeCell ref="A770:J770"/>
    <mergeCell ref="A771:J771"/>
    <mergeCell ref="A772:J772"/>
    <mergeCell ref="A773:J773"/>
    <mergeCell ref="A991:J991"/>
    <mergeCell ref="A992:J992"/>
    <mergeCell ref="A993:J993"/>
    <mergeCell ref="A994:J994"/>
    <mergeCell ref="A824:J824"/>
    <mergeCell ref="A825:J825"/>
    <mergeCell ref="A826:J826"/>
    <mergeCell ref="A877:J877"/>
    <mergeCell ref="A960:J960"/>
    <mergeCell ref="A879:J879"/>
  </mergeCells>
  <printOptions/>
  <pageMargins left="0.5" right="0.25" top="1" bottom="0.75" header="0.5" footer="0.2"/>
  <pageSetup firstPageNumber="1" useFirstPageNumber="1" horizontalDpi="600" verticalDpi="600" orientation="portrait" scale="80" r:id="rId1"/>
  <headerFooter alignWithMargins="0">
    <oddFooter>&amp;C&amp;P</oddFooter>
  </headerFooter>
  <rowBreaks count="26" manualBreakCount="26">
    <brk id="46" max="9" man="1"/>
    <brk id="92" max="9" man="1"/>
    <brk id="138" max="9" man="1"/>
    <brk id="169" max="9" man="1"/>
    <brk id="215" max="9" man="1"/>
    <brk id="248" max="9" man="1"/>
    <brk id="294" max="9" man="1"/>
    <brk id="340" max="9" man="1"/>
    <brk id="384" max="9" man="1"/>
    <brk id="428" max="9" man="1"/>
    <brk id="444" max="9" man="1"/>
    <brk id="492" max="9" man="1"/>
    <brk id="529" max="9" man="1"/>
    <brk id="575" max="9" man="1"/>
    <brk id="622" max="9" man="1"/>
    <brk id="671" max="9" man="1"/>
    <brk id="720" max="9" man="1"/>
    <brk id="769" max="9" man="1"/>
    <brk id="822" max="9" man="1"/>
    <brk id="876" max="9" man="1"/>
    <brk id="930" max="9" man="1"/>
    <brk id="959" max="9" man="1"/>
    <brk id="990" max="9" man="1"/>
    <brk id="1014" max="9" man="1"/>
    <brk id="1061" max="9" man="1"/>
    <brk id="11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summary for fy 98</dc:title>
  <dc:subject/>
  <dc:creator>Cathy</dc:creator>
  <cp:keywords/>
  <dc:description/>
  <cp:lastModifiedBy>John L. Thompson</cp:lastModifiedBy>
  <cp:lastPrinted>2020-11-03T21:34:33Z</cp:lastPrinted>
  <dcterms:created xsi:type="dcterms:W3CDTF">1999-10-25T16:17:29Z</dcterms:created>
  <dcterms:modified xsi:type="dcterms:W3CDTF">2020-11-04T20:07:58Z</dcterms:modified>
  <cp:category/>
  <cp:version/>
  <cp:contentType/>
  <cp:contentStatus/>
</cp:coreProperties>
</file>